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70" windowWidth="15030" windowHeight="8145" firstSheet="2" activeTab="2"/>
  </bookViews>
  <sheets>
    <sheet name="Тест" sheetId="2" state="hidden" r:id="rId1"/>
    <sheet name="Уникальные значения" sheetId="3" state="hidden" r:id="rId2"/>
    <sheet name="Херсонська" sheetId="23" r:id="rId3"/>
  </sheets>
  <calcPr calcId="124519"/>
</workbook>
</file>

<file path=xl/calcChain.xml><?xml version="1.0" encoding="utf-8"?>
<calcChain xmlns="http://schemas.openxmlformats.org/spreadsheetml/2006/main">
  <c r="F19" i="3"/>
  <c r="F5"/>
  <c r="AA5" i="2"/>
  <c r="AA4"/>
  <c r="C21" i="3"/>
  <c r="D12"/>
  <c r="D8"/>
  <c r="AG156" i="2"/>
  <c r="AG148"/>
  <c r="AG140"/>
  <c r="AG132"/>
  <c r="AG124"/>
  <c r="AG116"/>
  <c r="AG108"/>
  <c r="AG100"/>
  <c r="AG92"/>
  <c r="AG84"/>
  <c r="AG76"/>
  <c r="T75"/>
  <c r="T74"/>
  <c r="T73"/>
  <c r="T72"/>
  <c r="T71"/>
  <c r="T70"/>
  <c r="T69"/>
  <c r="T68"/>
  <c r="T67"/>
  <c r="T66"/>
  <c r="T65"/>
  <c r="T64"/>
  <c r="T63"/>
  <c r="T62"/>
  <c r="T61"/>
  <c r="U60"/>
  <c r="V59"/>
  <c r="W58"/>
  <c r="X57"/>
  <c r="Y56"/>
  <c r="Z55"/>
  <c r="AG54"/>
  <c r="AI53"/>
  <c r="T53"/>
  <c r="U52"/>
  <c r="V51"/>
  <c r="W50"/>
  <c r="X49"/>
  <c r="Y48"/>
  <c r="Z47"/>
  <c r="AG46"/>
  <c r="AI45"/>
  <c r="T45"/>
  <c r="U44"/>
  <c r="V43"/>
  <c r="W42"/>
  <c r="X41"/>
  <c r="Y40"/>
  <c r="Z39"/>
  <c r="AG38"/>
  <c r="AI37"/>
  <c r="T37"/>
  <c r="U36"/>
  <c r="V35"/>
  <c r="W34"/>
  <c r="X33"/>
  <c r="Y32"/>
  <c r="Z31"/>
  <c r="AG30"/>
  <c r="AI29"/>
  <c r="D21" i="3"/>
  <c r="C12"/>
  <c r="C8"/>
  <c r="AG155" i="2"/>
  <c r="AG147"/>
  <c r="AG139"/>
  <c r="AG131"/>
  <c r="AG123"/>
  <c r="AG115"/>
  <c r="AG107"/>
  <c r="AG99"/>
  <c r="AG91"/>
  <c r="AG83"/>
  <c r="AG75"/>
  <c r="AG74"/>
  <c r="AG73"/>
  <c r="AG72"/>
  <c r="AG71"/>
  <c r="AG70"/>
  <c r="AG69"/>
  <c r="AG68"/>
  <c r="AG67"/>
  <c r="AG66"/>
  <c r="AG65"/>
  <c r="AG64"/>
  <c r="AG63"/>
  <c r="AG62"/>
  <c r="AG61"/>
  <c r="AI60"/>
  <c r="T60"/>
  <c r="U59"/>
  <c r="V58"/>
  <c r="W57"/>
  <c r="X56"/>
  <c r="Y55"/>
  <c r="Z54"/>
  <c r="AG53"/>
  <c r="AI52"/>
  <c r="T52"/>
  <c r="U51"/>
  <c r="V50"/>
  <c r="W49"/>
  <c r="X48"/>
  <c r="Y47"/>
  <c r="Z46"/>
  <c r="AG45"/>
  <c r="AI44"/>
  <c r="T44"/>
  <c r="U43"/>
  <c r="V42"/>
  <c r="W41"/>
  <c r="X40"/>
  <c r="Y39"/>
  <c r="Z38"/>
  <c r="Y37"/>
  <c r="AG35"/>
  <c r="T34"/>
  <c r="V32"/>
  <c r="X30"/>
  <c r="U29"/>
  <c r="V28"/>
  <c r="W27"/>
  <c r="X26"/>
  <c r="Y25"/>
  <c r="C20" i="3"/>
  <c r="C11"/>
  <c r="C7"/>
  <c r="AG154" i="2"/>
  <c r="AG146"/>
  <c r="AG138"/>
  <c r="AG130"/>
  <c r="AG122"/>
  <c r="AG114"/>
  <c r="AG106"/>
  <c r="AG98"/>
  <c r="AG90"/>
  <c r="AG82"/>
  <c r="Z75"/>
  <c r="Z74"/>
  <c r="Z73"/>
  <c r="Z72"/>
  <c r="Z71"/>
  <c r="Z70"/>
  <c r="Z69"/>
  <c r="Z68"/>
  <c r="Z67"/>
  <c r="Z66"/>
  <c r="Z65"/>
  <c r="Z64"/>
  <c r="Z63"/>
  <c r="Z62"/>
  <c r="Z61"/>
  <c r="AG60"/>
  <c r="AI59"/>
  <c r="T59"/>
  <c r="U58"/>
  <c r="V57"/>
  <c r="W56"/>
  <c r="X55"/>
  <c r="Y54"/>
  <c r="Z53"/>
  <c r="AG52"/>
  <c r="AI51"/>
  <c r="T51"/>
  <c r="U50"/>
  <c r="V49"/>
  <c r="W48"/>
  <c r="X47"/>
  <c r="Y46"/>
  <c r="Z45"/>
  <c r="AG44"/>
  <c r="AI43"/>
  <c r="T43"/>
  <c r="U42"/>
  <c r="V41"/>
  <c r="W40"/>
  <c r="X39"/>
  <c r="Y38"/>
  <c r="Z37"/>
  <c r="AG36"/>
  <c r="AI35"/>
  <c r="T35"/>
  <c r="U34"/>
  <c r="V33"/>
  <c r="W32"/>
  <c r="X31"/>
  <c r="Y30"/>
  <c r="Z29"/>
  <c r="D20" i="3"/>
  <c r="D11"/>
  <c r="D7"/>
  <c r="AG153" i="2"/>
  <c r="AG145"/>
  <c r="AG137"/>
  <c r="AG129"/>
  <c r="AG121"/>
  <c r="AG113"/>
  <c r="AG105"/>
  <c r="AG97"/>
  <c r="AG89"/>
  <c r="AG81"/>
  <c r="Y75"/>
  <c r="Y74"/>
  <c r="Y73"/>
  <c r="Y72"/>
  <c r="Y71"/>
  <c r="Y70"/>
  <c r="Y69"/>
  <c r="Y68"/>
  <c r="Y67"/>
  <c r="Y66"/>
  <c r="Y65"/>
  <c r="Y64"/>
  <c r="Y63"/>
  <c r="Y62"/>
  <c r="Y61"/>
  <c r="Z60"/>
  <c r="AG59"/>
  <c r="AI58"/>
  <c r="T58"/>
  <c r="U57"/>
  <c r="V56"/>
  <c r="W55"/>
  <c r="X54"/>
  <c r="Y53"/>
  <c r="Z52"/>
  <c r="AG51"/>
  <c r="AI50"/>
  <c r="T50"/>
  <c r="U49"/>
  <c r="V48"/>
  <c r="W47"/>
  <c r="X46"/>
  <c r="Y45"/>
  <c r="Z44"/>
  <c r="AG43"/>
  <c r="AI42"/>
  <c r="T42"/>
  <c r="U41"/>
  <c r="V40"/>
  <c r="W39"/>
  <c r="X38"/>
  <c r="U37"/>
  <c r="W35"/>
  <c r="Y33"/>
  <c r="AG31"/>
  <c r="T30"/>
  <c r="AI28"/>
  <c r="T28"/>
  <c r="U27"/>
  <c r="V26"/>
  <c r="W25"/>
  <c r="C23" i="3"/>
  <c r="D19"/>
  <c r="D10"/>
  <c r="D6"/>
  <c r="AG152" i="2"/>
  <c r="AG144"/>
  <c r="AG136"/>
  <c r="AG128"/>
  <c r="AG120"/>
  <c r="AG112"/>
  <c r="AG104"/>
  <c r="AG96"/>
  <c r="AG88"/>
  <c r="AG80"/>
  <c r="X75"/>
  <c r="X74"/>
  <c r="X73"/>
  <c r="X72"/>
  <c r="X71"/>
  <c r="X70"/>
  <c r="X69"/>
  <c r="X68"/>
  <c r="X67"/>
  <c r="X66"/>
  <c r="X65"/>
  <c r="X64"/>
  <c r="X63"/>
  <c r="X62"/>
  <c r="X61"/>
  <c r="Y60"/>
  <c r="Z59"/>
  <c r="AG58"/>
  <c r="AI57"/>
  <c r="T57"/>
  <c r="U56"/>
  <c r="V55"/>
  <c r="W54"/>
  <c r="X53"/>
  <c r="Y52"/>
  <c r="Z51"/>
  <c r="AG50"/>
  <c r="AI49"/>
  <c r="T49"/>
  <c r="U48"/>
  <c r="V47"/>
  <c r="W46"/>
  <c r="X45"/>
  <c r="Y44"/>
  <c r="Z43"/>
  <c r="AG42"/>
  <c r="AI41"/>
  <c r="T41"/>
  <c r="U40"/>
  <c r="V39"/>
  <c r="W38"/>
  <c r="X37"/>
  <c r="Y36"/>
  <c r="Z35"/>
  <c r="AG34"/>
  <c r="AI33"/>
  <c r="T33"/>
  <c r="U32"/>
  <c r="V31"/>
  <c r="W30"/>
  <c r="D23" i="3"/>
  <c r="C19"/>
  <c r="C10"/>
  <c r="C6"/>
  <c r="AG151" i="2"/>
  <c r="AG143"/>
  <c r="AG135"/>
  <c r="AG127"/>
  <c r="AG119"/>
  <c r="AG111"/>
  <c r="AG103"/>
  <c r="AG95"/>
  <c r="AG87"/>
  <c r="AG79"/>
  <c r="W75"/>
  <c r="W74"/>
  <c r="W73"/>
  <c r="W72"/>
  <c r="W71"/>
  <c r="W70"/>
  <c r="W69"/>
  <c r="W68"/>
  <c r="W67"/>
  <c r="W66"/>
  <c r="W65"/>
  <c r="W64"/>
  <c r="W63"/>
  <c r="W62"/>
  <c r="W61"/>
  <c r="X60"/>
  <c r="Y59"/>
  <c r="Z58"/>
  <c r="AG57"/>
  <c r="AI56"/>
  <c r="T56"/>
  <c r="U55"/>
  <c r="V54"/>
  <c r="W53"/>
  <c r="X52"/>
  <c r="Y51"/>
  <c r="Z50"/>
  <c r="AG49"/>
  <c r="AI48"/>
  <c r="T48"/>
  <c r="U47"/>
  <c r="V46"/>
  <c r="W45"/>
  <c r="X44"/>
  <c r="Y43"/>
  <c r="Z42"/>
  <c r="AG41"/>
  <c r="AI40"/>
  <c r="T40"/>
  <c r="U39"/>
  <c r="V38"/>
  <c r="Z36"/>
  <c r="AI34"/>
  <c r="U33"/>
  <c r="W31"/>
  <c r="Y29"/>
  <c r="Z28"/>
  <c r="AG27"/>
  <c r="AI26"/>
  <c r="T26"/>
  <c r="C22" i="3"/>
  <c r="C13"/>
  <c r="C9"/>
  <c r="D5"/>
  <c r="AG150" i="2"/>
  <c r="AG142"/>
  <c r="AG134"/>
  <c r="AG126"/>
  <c r="AG118"/>
  <c r="AG110"/>
  <c r="AG102"/>
  <c r="AG94"/>
  <c r="AG86"/>
  <c r="AG78"/>
  <c r="V75"/>
  <c r="V74"/>
  <c r="V73"/>
  <c r="V72"/>
  <c r="V71"/>
  <c r="V70"/>
  <c r="V69"/>
  <c r="V68"/>
  <c r="V67"/>
  <c r="V66"/>
  <c r="V65"/>
  <c r="V64"/>
  <c r="V63"/>
  <c r="V62"/>
  <c r="V61"/>
  <c r="W60"/>
  <c r="X59"/>
  <c r="Y58"/>
  <c r="Z57"/>
  <c r="AG56"/>
  <c r="AI55"/>
  <c r="T55"/>
  <c r="U54"/>
  <c r="V53"/>
  <c r="W52"/>
  <c r="X51"/>
  <c r="Y50"/>
  <c r="Z49"/>
  <c r="AG48"/>
  <c r="AI47"/>
  <c r="T47"/>
  <c r="U46"/>
  <c r="V45"/>
  <c r="W44"/>
  <c r="X43"/>
  <c r="Y42"/>
  <c r="Z41"/>
  <c r="AG40"/>
  <c r="AI39"/>
  <c r="T39"/>
  <c r="U38"/>
  <c r="V37"/>
  <c r="W36"/>
  <c r="X35"/>
  <c r="Y34"/>
  <c r="Z33"/>
  <c r="AG32"/>
  <c r="AI31"/>
  <c r="T31"/>
  <c r="U30"/>
  <c r="D22" i="3"/>
  <c r="D13"/>
  <c r="D9"/>
  <c r="C5"/>
  <c r="AG149" i="2"/>
  <c r="AG141"/>
  <c r="AG133"/>
  <c r="AG125"/>
  <c r="AG117"/>
  <c r="AG109"/>
  <c r="AG101"/>
  <c r="AG93"/>
  <c r="AG85"/>
  <c r="AG77"/>
  <c r="U75"/>
  <c r="U74"/>
  <c r="U73"/>
  <c r="U72"/>
  <c r="U71"/>
  <c r="U70"/>
  <c r="U69"/>
  <c r="U68"/>
  <c r="U67"/>
  <c r="U66"/>
  <c r="U65"/>
  <c r="U64"/>
  <c r="U63"/>
  <c r="U62"/>
  <c r="U61"/>
  <c r="V60"/>
  <c r="W59"/>
  <c r="X58"/>
  <c r="Y57"/>
  <c r="Z56"/>
  <c r="AG55"/>
  <c r="AI54"/>
  <c r="T54"/>
  <c r="U53"/>
  <c r="V52"/>
  <c r="W51"/>
  <c r="X50"/>
  <c r="Y49"/>
  <c r="Z48"/>
  <c r="AG47"/>
  <c r="AI46"/>
  <c r="T46"/>
  <c r="U45"/>
  <c r="V44"/>
  <c r="W43"/>
  <c r="X42"/>
  <c r="Y41"/>
  <c r="Z40"/>
  <c r="AG39"/>
  <c r="AI38"/>
  <c r="T38"/>
  <c r="V36"/>
  <c r="X34"/>
  <c r="Z32"/>
  <c r="AI30"/>
  <c r="W29"/>
  <c r="X28"/>
  <c r="Y27"/>
  <c r="Z26"/>
  <c r="AG25"/>
  <c r="Y24"/>
  <c r="Z23"/>
  <c r="AG22"/>
  <c r="AI21"/>
  <c r="T21"/>
  <c r="U20"/>
  <c r="V19"/>
  <c r="W18"/>
  <c r="X17"/>
  <c r="Y16"/>
  <c r="Z15"/>
  <c r="AG14"/>
  <c r="AI13"/>
  <c r="T13"/>
  <c r="U12"/>
  <c r="V11"/>
  <c r="W10"/>
  <c r="X9"/>
  <c r="Y8"/>
  <c r="Z7"/>
  <c r="AG6"/>
  <c r="AI5"/>
  <c r="AI4"/>
  <c r="AI3"/>
  <c r="AG37"/>
  <c r="T36"/>
  <c r="V34"/>
  <c r="X32"/>
  <c r="Z30"/>
  <c r="V29"/>
  <c r="W28"/>
  <c r="X27"/>
  <c r="Y26"/>
  <c r="Z25"/>
  <c r="AI24"/>
  <c r="T24"/>
  <c r="U23"/>
  <c r="V22"/>
  <c r="W21"/>
  <c r="X20"/>
  <c r="Y19"/>
  <c r="Z18"/>
  <c r="AG17"/>
  <c r="AI16"/>
  <c r="T16"/>
  <c r="U15"/>
  <c r="V14"/>
  <c r="W13"/>
  <c r="X12"/>
  <c r="Y11"/>
  <c r="Z10"/>
  <c r="AG9"/>
  <c r="AI8"/>
  <c r="T8"/>
  <c r="U7"/>
  <c r="V6"/>
  <c r="X5"/>
  <c r="Z4"/>
  <c r="AG3"/>
  <c r="U25"/>
  <c r="W24"/>
  <c r="X23"/>
  <c r="Y22"/>
  <c r="Z21"/>
  <c r="AG20"/>
  <c r="AI19"/>
  <c r="T19"/>
  <c r="U18"/>
  <c r="V17"/>
  <c r="W16"/>
  <c r="X15"/>
  <c r="Y14"/>
  <c r="Z13"/>
  <c r="AG12"/>
  <c r="AI11"/>
  <c r="T11"/>
  <c r="U10"/>
  <c r="V9"/>
  <c r="W8"/>
  <c r="X7"/>
  <c r="Y6"/>
  <c r="Y5"/>
  <c r="Y4"/>
  <c r="T3"/>
  <c r="W37"/>
  <c r="Y35"/>
  <c r="AG33"/>
  <c r="T32"/>
  <c r="V30"/>
  <c r="T29"/>
  <c r="U28"/>
  <c r="V27"/>
  <c r="W26"/>
  <c r="X25"/>
  <c r="Z24"/>
  <c r="AG23"/>
  <c r="AI22"/>
  <c r="T22"/>
  <c r="U21"/>
  <c r="V20"/>
  <c r="W19"/>
  <c r="X18"/>
  <c r="Y17"/>
  <c r="Z16"/>
  <c r="AG15"/>
  <c r="AI14"/>
  <c r="T14"/>
  <c r="U13"/>
  <c r="V12"/>
  <c r="W11"/>
  <c r="X10"/>
  <c r="Y9"/>
  <c r="Z8"/>
  <c r="AG7"/>
  <c r="AI6"/>
  <c r="T6"/>
  <c r="V5"/>
  <c r="X4"/>
  <c r="A3"/>
  <c r="A25"/>
  <c r="U24"/>
  <c r="V23"/>
  <c r="W22"/>
  <c r="X21"/>
  <c r="Y20"/>
  <c r="Z19"/>
  <c r="AG18"/>
  <c r="AI17"/>
  <c r="T17"/>
  <c r="U16"/>
  <c r="V15"/>
  <c r="W14"/>
  <c r="X13"/>
  <c r="Y12"/>
  <c r="Z11"/>
  <c r="AG10"/>
  <c r="AI9"/>
  <c r="T9"/>
  <c r="U8"/>
  <c r="V7"/>
  <c r="W6"/>
  <c r="W5"/>
  <c r="W4"/>
  <c r="AI2"/>
  <c r="AI36"/>
  <c r="U35"/>
  <c r="W33"/>
  <c r="Y31"/>
  <c r="AG29"/>
  <c r="AG28"/>
  <c r="AI27"/>
  <c r="T27"/>
  <c r="U26"/>
  <c r="V25"/>
  <c r="X24"/>
  <c r="Y23"/>
  <c r="Z22"/>
  <c r="AG21"/>
  <c r="AI20"/>
  <c r="T20"/>
  <c r="U19"/>
  <c r="V18"/>
  <c r="W17"/>
  <c r="X16"/>
  <c r="Y15"/>
  <c r="Z14"/>
  <c r="AG13"/>
  <c r="AI12"/>
  <c r="T12"/>
  <c r="U11"/>
  <c r="V10"/>
  <c r="W9"/>
  <c r="X8"/>
  <c r="Y7"/>
  <c r="Z6"/>
  <c r="AG5"/>
  <c r="T5"/>
  <c r="V4"/>
  <c r="AG2"/>
  <c r="AG24"/>
  <c r="AI23"/>
  <c r="T23"/>
  <c r="U22"/>
  <c r="V21"/>
  <c r="W20"/>
  <c r="X19"/>
  <c r="Y18"/>
  <c r="Z17"/>
  <c r="AG16"/>
  <c r="AI15"/>
  <c r="T15"/>
  <c r="U14"/>
  <c r="V13"/>
  <c r="W12"/>
  <c r="X11"/>
  <c r="Y10"/>
  <c r="Z9"/>
  <c r="AG8"/>
  <c r="AI7"/>
  <c r="T7"/>
  <c r="U6"/>
  <c r="U5"/>
  <c r="U4"/>
  <c r="A2"/>
  <c r="X36"/>
  <c r="Z34"/>
  <c r="AI32"/>
  <c r="U31"/>
  <c r="X29"/>
  <c r="Y28"/>
  <c r="Z27"/>
  <c r="AG26"/>
  <c r="AI25"/>
  <c r="T25"/>
  <c r="V24"/>
  <c r="W23"/>
  <c r="X22"/>
  <c r="Y21"/>
  <c r="Z20"/>
  <c r="AG19"/>
  <c r="AI18"/>
  <c r="T18"/>
  <c r="U17"/>
  <c r="V16"/>
  <c r="W15"/>
  <c r="X14"/>
  <c r="Y13"/>
  <c r="Z12"/>
  <c r="AG11"/>
  <c r="AI10"/>
  <c r="T10"/>
  <c r="U9"/>
  <c r="V8"/>
  <c r="W7"/>
  <c r="X6"/>
  <c r="Z5"/>
  <c r="AG4"/>
  <c r="T4"/>
  <c r="E5" i="3" l="1"/>
  <c r="E9"/>
  <c r="E13"/>
  <c r="E6"/>
  <c r="E10"/>
  <c r="E7"/>
  <c r="E11"/>
  <c r="E8"/>
  <c r="E12"/>
</calcChain>
</file>

<file path=xl/sharedStrings.xml><?xml version="1.0" encoding="utf-8"?>
<sst xmlns="http://schemas.openxmlformats.org/spreadsheetml/2006/main" count="705" uniqueCount="445">
  <si>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</si>
  <si>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</si>
  <si>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</si>
  <si>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</si>
  <si>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</si>
  <si>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</si>
  <si>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</si>
  <si>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</si>
  <si>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</si>
  <si>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</si>
  <si>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</si>
  <si>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</si>
  <si>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</si>
  <si>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</si>
  <si>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</si>
  <si>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</si>
  <si>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</si>
  <si>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</si>
  <si>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</si>
  <si>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</si>
  <si>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</si>
  <si>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</si>
  <si>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</si>
  <si>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</si>
  <si>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</si>
  <si>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Значения</t>
  </si>
  <si>
    <t>Вывод уникальных значений</t>
  </si>
  <si>
    <t>Склеивание ячеек</t>
  </si>
  <si>
    <t>Подсчет уникальных значений</t>
  </si>
  <si>
    <t>Яблоко</t>
  </si>
  <si>
    <t>Груша</t>
  </si>
  <si>
    <t>Абрикос</t>
  </si>
  <si>
    <t>Слива</t>
  </si>
  <si>
    <t>Вишня</t>
  </si>
  <si>
    <t>Черешня</t>
  </si>
  <si>
    <t>Дыня</t>
  </si>
  <si>
    <t>ТОВ Сільпо</t>
  </si>
  <si>
    <t>Київ</t>
  </si>
  <si>
    <t>Волинь</t>
  </si>
  <si>
    <t>ТОВ ВОГ</t>
  </si>
  <si>
    <t>Дніпро</t>
  </si>
  <si>
    <t>Донецьк</t>
  </si>
  <si>
    <t>Прізвище, 
ім'я, 
по-батькові
офіційного ветеринарного лікаря</t>
  </si>
  <si>
    <t>Позначка придатності</t>
  </si>
  <si>
    <t>Повна назва оператора ринку харчових продукт, на яких буде здійснюватися державний ветеринарно-санітарний контроль</t>
  </si>
  <si>
    <t>Фізична 
адреса
потужностей</t>
  </si>
  <si>
    <t>Експлуатаційний
 дозвіл</t>
  </si>
  <si>
    <t>ЄДРПОУ</t>
  </si>
  <si>
    <t>М'ясо птиці</t>
  </si>
  <si>
    <t>М'ясо копитних</t>
  </si>
  <si>
    <t>Інший вид м'яса</t>
  </si>
  <si>
    <t xml:space="preserve">Експортер продукції </t>
  </si>
  <si>
    <t xml:space="preserve">Загальна кількість операторів ринку харчових продуктів які закріплені за офіційним ветеринарним лікарем </t>
  </si>
  <si>
    <t>Загальний стаж за фахом</t>
  </si>
  <si>
    <t>Який вищий навчальний заклад закінчив і коли</t>
  </si>
  <si>
    <t>Дата проходження навчання</t>
  </si>
  <si>
    <t>Примітка</t>
  </si>
  <si>
    <t>*</t>
  </si>
  <si>
    <t>27</t>
  </si>
  <si>
    <t>16</t>
  </si>
  <si>
    <t>25</t>
  </si>
  <si>
    <t>4</t>
  </si>
  <si>
    <t>22</t>
  </si>
  <si>
    <t>2</t>
  </si>
  <si>
    <t>23</t>
  </si>
  <si>
    <t>15</t>
  </si>
  <si>
    <t>6</t>
  </si>
  <si>
    <t>10.03.2017</t>
  </si>
  <si>
    <t>14</t>
  </si>
  <si>
    <t>11</t>
  </si>
  <si>
    <t>27.06.2014</t>
  </si>
  <si>
    <t>5</t>
  </si>
  <si>
    <t>21</t>
  </si>
  <si>
    <t>7</t>
  </si>
  <si>
    <t>УСГА, м. Київ, 1985</t>
  </si>
  <si>
    <t>33</t>
  </si>
  <si>
    <t>9</t>
  </si>
  <si>
    <t>26.03.2015</t>
  </si>
  <si>
    <t>Одеський сільськогосподарський інститут, 1993</t>
  </si>
  <si>
    <t>40982829</t>
  </si>
  <si>
    <t>8</t>
  </si>
  <si>
    <t>40720198</t>
  </si>
  <si>
    <t>12</t>
  </si>
  <si>
    <t>31.10.2015</t>
  </si>
  <si>
    <t>-</t>
  </si>
  <si>
    <t>36</t>
  </si>
  <si>
    <t>32</t>
  </si>
  <si>
    <t>32104254</t>
  </si>
  <si>
    <t>28</t>
  </si>
  <si>
    <t>ТОВ "Фудком"</t>
  </si>
  <si>
    <t>Харківська державна зооветеринарна академія, 2012</t>
  </si>
  <si>
    <t>38316777</t>
  </si>
  <si>
    <t>ТОВ "Сільпо-фуд"</t>
  </si>
  <si>
    <t>Одеський сільськогосподарський інститут, 1988</t>
  </si>
  <si>
    <t>ТОВ "Еко"</t>
  </si>
  <si>
    <t>31929492</t>
  </si>
  <si>
    <t>04.08.2017</t>
  </si>
  <si>
    <t>Харківська державна зооветеринарна академія, 2010</t>
  </si>
  <si>
    <t>ПП "Таврія Плюс"</t>
  </si>
  <si>
    <t>Матієнко Михайло Михайлович</t>
  </si>
  <si>
    <t>Одеський сільськогосподасрький інститут, 1991</t>
  </si>
  <si>
    <t>01-02-13</t>
  </si>
  <si>
    <t>ПП "Пластика - Сервіс"</t>
  </si>
  <si>
    <t>Миколаївське шосе, 10км, с. Чорнобаївка, Білозерський р-н, Херсонська обл., 75024</t>
  </si>
  <si>
    <t>а-UA-21-02-06-I-SH</t>
  </si>
  <si>
    <t>41507279</t>
  </si>
  <si>
    <t xml:space="preserve">Сорокопуд Олександр Іванович </t>
  </si>
  <si>
    <t>Одеський сільськогосподасрький інститут, 1985</t>
  </si>
  <si>
    <t>16.02.2018</t>
  </si>
  <si>
    <t>01-02-04</t>
  </si>
  <si>
    <t>ФОП Іванов В.К.</t>
  </si>
  <si>
    <t>Майновий комплекс, 2а, с. Музиковка, Білозерський р-н, Херсонська обл., 75023</t>
  </si>
  <si>
    <t>a-UA-21-02-10-I-SH</t>
  </si>
  <si>
    <t>2180321935</t>
  </si>
  <si>
    <t xml:space="preserve">Грабовський Олексій Юрійович </t>
  </si>
  <si>
    <t>Білоцерківський державний сількогосподарський інститут, 1995</t>
  </si>
  <si>
    <t>01-02-03</t>
  </si>
  <si>
    <t xml:space="preserve">Мимрікова Ірина Володимирівна </t>
  </si>
  <si>
    <t>Харківський зооветеринарний інститут, 1986</t>
  </si>
  <si>
    <t>07.07.2015</t>
  </si>
  <si>
    <t>21-07-02</t>
  </si>
  <si>
    <t>ФОП Шеремет А.Ю.</t>
  </si>
  <si>
    <t>вул. Курасова, біля будинку №8, м. Генічеськ, Генічеський р-н, Херсонська обл., 75500</t>
  </si>
  <si>
    <t>a-UA-21-07-21-I-CP</t>
  </si>
  <si>
    <t>3028401097</t>
  </si>
  <si>
    <t>ФОП Реріх Л.Ф.</t>
  </si>
  <si>
    <t>пр.Миру, 98а, м. Генічеськ, Генічеський р-н, Херсонська обл., 75500</t>
  </si>
  <si>
    <t>a-UA-21-07-24-I-CP-II-CP-XVI-SP-PS</t>
  </si>
  <si>
    <t>2452908444</t>
  </si>
  <si>
    <t xml:space="preserve"> ФОП Хазіков Р.А.</t>
  </si>
  <si>
    <t>вул. Гоголя 11, м. Генічеськ, Генічеський р-н, Херсонська обл., 75500</t>
  </si>
  <si>
    <t>a-UA-21-07-22-I-CP-II-CP-XVI-SP-PS</t>
  </si>
  <si>
    <t>2780917277</t>
  </si>
  <si>
    <t>ФОП Коваленко Т.В.</t>
  </si>
  <si>
    <t>вул. Центральна, 2, м. Генічеськ, Генічеський р-н, Херсонська обл., 75500</t>
  </si>
  <si>
    <t>a-UA-21-07-25-I-CP-II-CP-III-CP-XVI-SP-PS</t>
  </si>
  <si>
    <t>2413211969</t>
  </si>
  <si>
    <t>ФОП Заіченко М.В.</t>
  </si>
  <si>
    <t>вул. Козакова, 1, м. Генічеськ, Генічеський р-н, Херсонська обл., 75500</t>
  </si>
  <si>
    <t>a-UA-21-07-23-I-CP-II-CP-III-CP-XVI-SP-PS</t>
  </si>
  <si>
    <t>2960405043</t>
  </si>
  <si>
    <t xml:space="preserve">ФОП Сіжук І.М. </t>
  </si>
  <si>
    <t>вул. Дружби Народу, 64, м. Генічеськ, Генічеський р-н, Херсонська обл., 75500</t>
  </si>
  <si>
    <t>a-UA-21-07-32-I-CP-II-CP-XVI-SP-PS</t>
  </si>
  <si>
    <t>3049902605</t>
  </si>
  <si>
    <t xml:space="preserve">Бойко Олександр Родіонович </t>
  </si>
  <si>
    <t>Московська державна академія ветеринарної медицини та біотехнології ім. К.І.Скрябіна 2010</t>
  </si>
  <si>
    <t>21-07-21</t>
  </si>
  <si>
    <t>ФОП Коваленко В.С.</t>
  </si>
  <si>
    <t>вул. Набережна 39, с. Генічеська Гірка, Генічеський р-н, Херсонська обл., 75500</t>
  </si>
  <si>
    <t>a-UA-21-07-27-I-CP-II-CP-XVI-SP-PS</t>
  </si>
  <si>
    <t>3195301200</t>
  </si>
  <si>
    <t>вул. Набережна, б\в"Арабатська стрілка", с. Генічеська Гірка, Генічеський р-н, Херсонська обл., 75500</t>
  </si>
  <si>
    <t>a-UA-21-07-34-I-CP-II-CP-XVI-SP-PS</t>
  </si>
  <si>
    <t>вул. Азовська, 52, с. Генічеська Гірка, Генічеський р-н, Херсонська обл., 75500</t>
  </si>
  <si>
    <t>a-UA-21-07-28-I-CP-II-CP-XVI-SP-PS</t>
  </si>
  <si>
    <t>ФОП Баштан І.Д.</t>
  </si>
  <si>
    <t>вул. Гагаріна 25, с. Щасливцеве, Генічеський р-н, Херсонська обл., 75500</t>
  </si>
  <si>
    <t>a-UA-21-07-30-I-CP-II-CP-III-CP-XVI-SP-PS</t>
  </si>
  <si>
    <t>2876121452</t>
  </si>
  <si>
    <t xml:space="preserve">ФОП Коваленко В.С. </t>
  </si>
  <si>
    <t xml:space="preserve"> вул. Миру, 72 а, с. Щасливцеве, Генічеський р-н, Херсонська обл., 75500</t>
  </si>
  <si>
    <t>a-UA-21-07-29-I-CP-II-CP-XVI-SP-PS</t>
  </si>
  <si>
    <t>вул. Миру 84, б, с. Щасливцеве, Генічеський р-н, Херсонська обл., 75500</t>
  </si>
  <si>
    <t>a-UA-21-07-31-I-CP-II-CP-III-CP-XVI-SP-PS</t>
  </si>
  <si>
    <t xml:space="preserve">Волович Світлана Григорівна </t>
  </si>
  <si>
    <t>Одеський сільськогосподасрький інститут, 1987</t>
  </si>
  <si>
    <t>04.10.2014</t>
  </si>
  <si>
    <t>ФОП Двойневський І.В.</t>
  </si>
  <si>
    <t xml:space="preserve"> вул. 1 Травня 91, м. Гола Пристань, Голопристанський р-н, Херсонська обл., 75600</t>
  </si>
  <si>
    <t xml:space="preserve">а-UA-21-08-11-І-ІІ-V-VI-СР-МР-РР </t>
  </si>
  <si>
    <t>2961705937</t>
  </si>
  <si>
    <t xml:space="preserve">Черкашина Інна Анатоліївна </t>
  </si>
  <si>
    <t>Харьківська державна зооветеринарна академія, 2009</t>
  </si>
  <si>
    <t>вул. 1 Травня 91, м. Гола Пристань, Голопристанський р-н, Херсонська обл., 75600</t>
  </si>
  <si>
    <t>а-UA-21-08-11-І-ІІ-V-VI-СР-МР-РР</t>
  </si>
  <si>
    <t xml:space="preserve">Чепок Юлія Юріївна </t>
  </si>
  <si>
    <t>Харьківська державна зооветеринарна академія, 2016</t>
  </si>
  <si>
    <t xml:space="preserve">Олійник Ольга Анатоліївна </t>
  </si>
  <si>
    <t>ТОВ "ЕКО МАРКЕТ" ТОВ "ЕКО"</t>
  </si>
  <si>
    <t>проспект Будивельників , 1, м. Каховка, Каховський р-н, Херсонська обл., 74800</t>
  </si>
  <si>
    <t>21-12-28 Mt</t>
  </si>
  <si>
    <t xml:space="preserve">ТДВ "Каховське хлібоприймальне підприємство" </t>
  </si>
  <si>
    <t xml:space="preserve">вул. м. Жука, 15, м. Каховка, Каховський р-н, Херсонська обл., 74800 </t>
  </si>
  <si>
    <t>a-UA-21-12-04-VI-PP</t>
  </si>
  <si>
    <t>00956619</t>
  </si>
  <si>
    <t>ТОВ "ВП "Каховські ковбаси"</t>
  </si>
  <si>
    <t>вул. Пушкіна, 222, м. Каховка, Каховський р-н, Херсонська обл., 74800</t>
  </si>
  <si>
    <t xml:space="preserve"> 21-12-24 Mt</t>
  </si>
  <si>
    <t>37376490</t>
  </si>
  <si>
    <t>Скринік Віталій Анатолійович</t>
  </si>
  <si>
    <t>Південний філіал Національного університету біоресурсів і природокористування України Кримський агротехнологічний університет</t>
  </si>
  <si>
    <t>21-12-02</t>
  </si>
  <si>
    <t>ФОП Рахімов І.А.</t>
  </si>
  <si>
    <t>вул. Мелітопольська, 1, м. Каховка, Херсонська обл., 74800</t>
  </si>
  <si>
    <t xml:space="preserve"> 21-12-23 Mt</t>
  </si>
  <si>
    <t>2777518658</t>
  </si>
  <si>
    <t>Арещенко Андрій Вікторович</t>
  </si>
  <si>
    <t>Одеський сільськогосподарський інститут, 1998</t>
  </si>
  <si>
    <t>ФОП Островський Р.Я.</t>
  </si>
  <si>
    <t>вул. Соборна, 83, смт Новотроїцьке, Новотроїцький р-н, Херсонська обл., 75300</t>
  </si>
  <si>
    <t>а-UA-21-15-33-I-CP-V-MM-ХVІ-PS</t>
  </si>
  <si>
    <t>2642313024</t>
  </si>
  <si>
    <t>ФОП Островська О.Я.</t>
  </si>
  <si>
    <t xml:space="preserve">вул. Каштанова, 77, смт Новотроїцьке, Новотроїцький р-н, Херсонська обл., 75300 </t>
  </si>
  <si>
    <t xml:space="preserve"> а-UA-21-15-32-I-CP-V-MM- ХVІ-PS</t>
  </si>
  <si>
    <t xml:space="preserve">Храпай Микола Вікторович </t>
  </si>
  <si>
    <t>Московська державна академія ветеринарної медицини та біотехнології ім К.І.Скрябіна, м. Харків, 2011</t>
  </si>
  <si>
    <t>вул. Каштанова, 77, смт Новотроїцьке, Новотроїцький р-н, Херсонська обл., 75300</t>
  </si>
  <si>
    <t>вул. Соборна, 89, смт Новотроїцьке, Новотроїцький р-н, Херсонська обл., 75300</t>
  </si>
  <si>
    <t>а-UA-21-15-34-I-CP-V-MM-ХVІ-PS</t>
  </si>
  <si>
    <t xml:space="preserve">Кустовська Наталя Іванівна </t>
  </si>
  <si>
    <t>Одеський сільськогосподарський інститут, 1985</t>
  </si>
  <si>
    <t xml:space="preserve">29.09.2017 </t>
  </si>
  <si>
    <t>21-15-02 21-15-04</t>
  </si>
  <si>
    <t xml:space="preserve">ТОВ "Світанок" </t>
  </si>
  <si>
    <t xml:space="preserve"> вул. Центральна, 112, смт Сиваське, Новотроїцький р-н, Херсонська обл., 75341</t>
  </si>
  <si>
    <t>а-UA-21-15-37-I-SН-СР-ХVІ-SР</t>
  </si>
  <si>
    <t>03784924</t>
  </si>
  <si>
    <t xml:space="preserve">Трєсков Валерій Олексійович </t>
  </si>
  <si>
    <t>26.06.2015.</t>
  </si>
  <si>
    <t>21-15-03 21-15-04</t>
  </si>
  <si>
    <t xml:space="preserve">Вовченко Віталій Валерійович </t>
  </si>
  <si>
    <t>Кримський державний аграрний університет, 1997</t>
  </si>
  <si>
    <t>21-16-03 21-16-07</t>
  </si>
  <si>
    <t>ТОВ "Зоотехнологія"</t>
  </si>
  <si>
    <t>вул. Пасічника, 1-а, м. Скадовськ, Херсонська обл., 75700</t>
  </si>
  <si>
    <t>21-16-07-Мt</t>
  </si>
  <si>
    <t xml:space="preserve"> 32853429</t>
  </si>
  <si>
    <t xml:space="preserve">Завгородня Тетяна Юріївна </t>
  </si>
  <si>
    <t xml:space="preserve">9 </t>
  </si>
  <si>
    <t>Південний філіал Національного університету біоресурсів і природокористування України"кримський агротехнічний університет", 2009</t>
  </si>
  <si>
    <t>21-16-07 21-16-24</t>
  </si>
  <si>
    <t xml:space="preserve">Захарченко Олександр Володимирович </t>
  </si>
  <si>
    <t>10.11.2017</t>
  </si>
  <si>
    <t>21-17-01</t>
  </si>
  <si>
    <t>ФОП Кузеро с. І.</t>
  </si>
  <si>
    <t>вул. Богдана Хмельницького, 46, м. Олешки, Херсонська обл., 75100</t>
  </si>
  <si>
    <t>а-UA-21-17-21-І-СР-V-MM</t>
  </si>
  <si>
    <t>2471416624</t>
  </si>
  <si>
    <t>21-17-17</t>
  </si>
  <si>
    <t xml:space="preserve">ФОП Мнацаканян Ш.В. </t>
  </si>
  <si>
    <t xml:space="preserve">зупинковий комплекс на перехресті вул. Пролетарська та Софіївська, м. Олешки, Херсонська обл., 75100 </t>
  </si>
  <si>
    <t xml:space="preserve">а-UA-21-17-24-І-СР-V-MM </t>
  </si>
  <si>
    <t>3190402031</t>
  </si>
  <si>
    <t>ФОП Зверєв Д.К.</t>
  </si>
  <si>
    <t xml:space="preserve"> вул. Мічуріна, 33, м. Олешки, Олешківський р-н, 75109 </t>
  </si>
  <si>
    <t>а-UA-21-17-28-І-SH</t>
  </si>
  <si>
    <t>2545408092</t>
  </si>
  <si>
    <t>вул. Лісна, 1/11, с. Солонці (Ліві), Олешківський р-н, Херсонська обл., 75109</t>
  </si>
  <si>
    <t>а-UA-21-17-23-І-SH</t>
  </si>
  <si>
    <t>ФОП Глущук О.Г.</t>
  </si>
  <si>
    <t>вул. Пролетарська в р-ні магазину "Партнер", м. Олешки, Херсонська обл., 15101</t>
  </si>
  <si>
    <t>а-UA-21-17-25-І-СР-V-MM</t>
  </si>
  <si>
    <t>2413924487</t>
  </si>
  <si>
    <t xml:space="preserve">Жданова Ольга Михайлівна </t>
  </si>
  <si>
    <t>вул. Лісна, 1/11, с. Солонці (Ліві) Олешківський р-н, Херсонська обл., 75109</t>
  </si>
  <si>
    <t>вул. Мічуріна, 33, м. Олешки, Олешківський р-н, Херсонська обл., 75109</t>
  </si>
  <si>
    <t>21-17-07</t>
  </si>
  <si>
    <t xml:space="preserve">вул. Лісна, 1/11, с. Солонці (Ліві), Олешківський р-н, Херсонська обл., 75109 </t>
  </si>
  <si>
    <t xml:space="preserve">вул. Мічуріна, 33, м. Олешки, Олешківський р-н, Херсонська обл., 75109 </t>
  </si>
  <si>
    <t xml:space="preserve">Мартюк Олександр Анатолійович </t>
  </si>
  <si>
    <t>21.02.2018</t>
  </si>
  <si>
    <t>21-18-09</t>
  </si>
  <si>
    <t xml:space="preserve"> ТОВ "Авелекс"</t>
  </si>
  <si>
    <t>вул. Партизанська, 18, с. Червоний Яр, Чаплинський р-н, Херсонська обл., 75200</t>
  </si>
  <si>
    <t xml:space="preserve"> 21-18-27 І-SH</t>
  </si>
  <si>
    <t>40984035</t>
  </si>
  <si>
    <t xml:space="preserve">Дмиш Любов Володимирівна </t>
  </si>
  <si>
    <t>Одеський сільськогосподасрький інститут, 1996</t>
  </si>
  <si>
    <t>18.06.2014</t>
  </si>
  <si>
    <t>21-19-14</t>
  </si>
  <si>
    <t>ФОП Чередніченко м. В.</t>
  </si>
  <si>
    <t xml:space="preserve">Миколаївське шосе, 25 м. Херсон, Херсонська обл., 75003 </t>
  </si>
  <si>
    <t>а-UA-21-19-82 -0-CS</t>
  </si>
  <si>
    <t>2602702374</t>
  </si>
  <si>
    <t xml:space="preserve">ФОП Хлиніна О.м. </t>
  </si>
  <si>
    <t xml:space="preserve">вул. Св. Кирила та Мефодія, 23, м. Херсон, Херсонська обл., 75003 </t>
  </si>
  <si>
    <t>а-UA-21-19-103 -І -СР-ІІ-СР-V -ММ-МР</t>
  </si>
  <si>
    <t>2780614240</t>
  </si>
  <si>
    <t>ТОВ "АТК Альянс"</t>
  </si>
  <si>
    <t>Миколаївське шосе, 25, м. Херсон, 75003</t>
  </si>
  <si>
    <t>а-UA-21-19-114-0-СS-XVI-SP, PS</t>
  </si>
  <si>
    <t>37048781</t>
  </si>
  <si>
    <t>ТОВ "Авелекс"</t>
  </si>
  <si>
    <t>вул. Нафтовикін, 82, м. Херсон, Херсонська обл., 73000</t>
  </si>
  <si>
    <t>а-UA-21-19-96-І-СР-V-ММ-МР</t>
  </si>
  <si>
    <t>ТОВ "Мясний еталон"</t>
  </si>
  <si>
    <t xml:space="preserve"> проспект Сенявіна, 33, м. Херсон, Херсонська обл., 73000</t>
  </si>
  <si>
    <t>а-UA-21-19-127-І-СР-V-ММ-МP-XV-SP-PS</t>
  </si>
  <si>
    <t>42043832</t>
  </si>
  <si>
    <t xml:space="preserve">Єрохін Андрій Володимирович </t>
  </si>
  <si>
    <t>Білоцерківський державний аграрний университет, 2003</t>
  </si>
  <si>
    <t>21-19-23</t>
  </si>
  <si>
    <t xml:space="preserve"> вул. Дорофеєва, 30, м. Херсон, Херсонська обл., 73000</t>
  </si>
  <si>
    <t>а-UA-21-19-99-І-СР-ІІ-СР-V-ММ-МР</t>
  </si>
  <si>
    <t>вул. проспект будів. 27-а , м. Херсон, Херсонська обл., 73000</t>
  </si>
  <si>
    <t>а-UA-21-19-83-І-СР-V-ММ-МР</t>
  </si>
  <si>
    <t>вул. проспект Ушакова, 49, м. Херсон, Херсонмька обл., 73000</t>
  </si>
  <si>
    <t>а-UA-21-19-84-І-СР-V-ММ-МР</t>
  </si>
  <si>
    <t>вул. Зала Егегерсег, 18, м. Херсон, Херсонська обл., 73000</t>
  </si>
  <si>
    <t>а-UA-21-19-85-І-СР-V-ММ-МР</t>
  </si>
  <si>
    <t>Миколаївське шосе, 19, м. Херсон, Херсонська обл., 73003</t>
  </si>
  <si>
    <t>а-UA-21-19-107-V-ІІІ-РР</t>
  </si>
  <si>
    <t xml:space="preserve">Шеремета Тетяна Михайлівна </t>
  </si>
  <si>
    <t>21-19-25</t>
  </si>
  <si>
    <t>ФОП Василішина Т.О.</t>
  </si>
  <si>
    <t xml:space="preserve">вул. Р.Люксембург, 49, м. Херсон, Херсонська обл., 73003 </t>
  </si>
  <si>
    <t>21-19-06Mt</t>
  </si>
  <si>
    <t>1513100323</t>
  </si>
  <si>
    <t xml:space="preserve">ТОВ "Альянс Маркет" </t>
  </si>
  <si>
    <t>пр-т200 років Херсона 28- а, м. Херсон, Херсонська обл., 73003</t>
  </si>
  <si>
    <t>а-UA-21-19-81-І-ІСР-V-ММ-МР</t>
  </si>
  <si>
    <t>ТОВ "Альянс Маркет"</t>
  </si>
  <si>
    <t>вул. Кулика, 114, ж, м. Херсон, Херсонська обл., 73003</t>
  </si>
  <si>
    <t>а-UA-21-19-71-І-ІСР-V-ММ-МР</t>
  </si>
  <si>
    <t xml:space="preserve">Вініченко Олександр Анатолійович </t>
  </si>
  <si>
    <t>Кримський державний аграрний університет, 2001</t>
  </si>
  <si>
    <t>21-19-20</t>
  </si>
  <si>
    <t>"Херсонське споживче товариство"</t>
  </si>
  <si>
    <t>вул. 9 Східна, 70, м. Херосон, Херсонська обл., 73035</t>
  </si>
  <si>
    <t>21-19-25Mt</t>
  </si>
  <si>
    <t>01770384</t>
  </si>
  <si>
    <t xml:space="preserve">ПП "Наш продукт" </t>
  </si>
  <si>
    <t>вул. 9 Східна, 70, м. Херсон, Херсонська обл., 73035</t>
  </si>
  <si>
    <t>21-19-19Mt</t>
  </si>
  <si>
    <t>32808775</t>
  </si>
  <si>
    <t>ТОВ "Алькор Плюс"</t>
  </si>
  <si>
    <t>вул. Залізнична, 23, м. Херсон, Херсонська обл., 73026</t>
  </si>
  <si>
    <t>а-UA-21-19-119 - O-CS-X-VI-SP-PS</t>
  </si>
  <si>
    <t>32618690</t>
  </si>
  <si>
    <t>ТОВ "Партнери"</t>
  </si>
  <si>
    <t xml:space="preserve"> Карантиний Острів, 1, м. Херсон, Херсонська обл., 73003 </t>
  </si>
  <si>
    <t>21-19-08 Mt</t>
  </si>
  <si>
    <t>23139858</t>
  </si>
  <si>
    <t>ФОП Когдас А.В.</t>
  </si>
  <si>
    <t xml:space="preserve">вул. Ватутіна, 57, смт Антонівка, м. Херсон, Херсонська обл., 73485 </t>
  </si>
  <si>
    <t>а-UA-21-19-80 - I-S-N</t>
  </si>
  <si>
    <t>2961920519</t>
  </si>
  <si>
    <t>ТОВ "ЕКОПРОДУКТ ЛТД"</t>
  </si>
  <si>
    <t xml:space="preserve"> вул. Залізнитчна, 23м. Херсон, Херсонська обл., 73026</t>
  </si>
  <si>
    <t>а-UA-21-19-113 - 0-S-XVI-S-PS</t>
  </si>
  <si>
    <t>33930143</t>
  </si>
  <si>
    <t xml:space="preserve">ФОП Левченко Д.С. </t>
  </si>
  <si>
    <t xml:space="preserve">вул. Робоча, 21 кв. 2, м. Херсон, Херсонська обл., 75000 </t>
  </si>
  <si>
    <t>а-UA-21-19-118-І-СР-ІІ-СР-V-ММ-МР</t>
  </si>
  <si>
    <t>3391706832</t>
  </si>
  <si>
    <t>ФОП Цюпко К.К.</t>
  </si>
  <si>
    <t xml:space="preserve">вул. Робоча, 21 кв.2, м. Херсон, Херсонська обл., 75000 </t>
  </si>
  <si>
    <t>а-UA-21-19-89-І-СР-ІІ-СР-V-ММ-МР</t>
  </si>
  <si>
    <t>2854212754</t>
  </si>
  <si>
    <t>ФОП Плачков І.Б.</t>
  </si>
  <si>
    <t xml:space="preserve">вул. 40 років Жовтня, б.5, м. Херсон, Херсонська обл., 75000 </t>
  </si>
  <si>
    <t>а-UA-21-19-90-І-СР-ІІ-СР-V-ММ-МР</t>
  </si>
  <si>
    <t>1970215078</t>
  </si>
  <si>
    <t>ФОП Яковчук С. П.</t>
  </si>
  <si>
    <t xml:space="preserve">вул. 49 Гв. Дивізії, 15 кв. 66, м. Херсон, Херсонська обл., 75000 </t>
  </si>
  <si>
    <t>а-UA-21-19-91-І-СР-ІІ-СР-V-ММ-МР</t>
  </si>
  <si>
    <t>3002615516</t>
  </si>
  <si>
    <t xml:space="preserve">Азарян Мартік Шаваршович </t>
  </si>
  <si>
    <t>Єреванський зоотехнічно-ветеринарний інститут, 1995</t>
  </si>
  <si>
    <t>21-19-17</t>
  </si>
  <si>
    <t xml:space="preserve">ФОП Плачков І.Б </t>
  </si>
  <si>
    <t xml:space="preserve">вул. 40 років Жовтня (Інститутська), 5, м. Херсон, Херсонська обл., 75000 </t>
  </si>
  <si>
    <t>49 Гв. Дивизії, 24, м. Херсон, Херсонська обл., 75000</t>
  </si>
  <si>
    <t>21-19-72 Mt</t>
  </si>
  <si>
    <t>ФОП Болотова К.С.</t>
  </si>
  <si>
    <t xml:space="preserve">вул. Некрасова, 28, а, м. Херсон, Херсонська обл., 75000 </t>
  </si>
  <si>
    <t>а-UA-21-19-24-І-СР-ІІ-СР-V-ММ-МР</t>
  </si>
  <si>
    <t>3170212663</t>
  </si>
  <si>
    <t>ФОП Гаврилов</t>
  </si>
  <si>
    <t xml:space="preserve">вул. Музиківська, 1 в, с. Степанівка, Херсонська обл., 73488 </t>
  </si>
  <si>
    <t>21-19-39МР</t>
  </si>
  <si>
    <t>2463320497</t>
  </si>
  <si>
    <t>ФОП Логвиненко В.Є.</t>
  </si>
  <si>
    <t>вул. Карбишева-20/29, м. Херсон, Херсонська обл., 73000</t>
  </si>
  <si>
    <t>а-UA-21-19-21-І-СР-ІІ-СР-V-ММ-МР</t>
  </si>
  <si>
    <t>2731601612</t>
  </si>
  <si>
    <t xml:space="preserve"> пл. Чорновіла, 44, м. Херсон, Херсонська обл., 73000</t>
  </si>
  <si>
    <t>а-UA-21-19-20-І-СР-ІІ-СР-V-ММ-МР</t>
  </si>
  <si>
    <t>*/</t>
  </si>
  <si>
    <t xml:space="preserve">Омельченко Ілля Володимирович </t>
  </si>
  <si>
    <t>БНАУ, 2010</t>
  </si>
  <si>
    <t>21-19-15</t>
  </si>
  <si>
    <t>вул. 23 Східна, б.43-в, м. Херсон, Херсонська обл., 73000</t>
  </si>
  <si>
    <t>а-UA-21-19-93-І-СР-ІІ-СР-V-ММ-МР</t>
  </si>
  <si>
    <t>ТОВ "М’ясна Імперія"</t>
  </si>
  <si>
    <t>вул. 9 Східна, 70, м. Херсон, Херсонська обл., 73000</t>
  </si>
  <si>
    <t>а-UA-21-19-94-0-CS-XVI-SP-PS</t>
  </si>
  <si>
    <t>41034586</t>
  </si>
  <si>
    <t>вул. І.Кулика, б. 114 ж, м. Херсон, Хероснська обл., 73000</t>
  </si>
  <si>
    <t>а-UA-21-19-92-І-СР-ІІ-СР-V-ММ-МР</t>
  </si>
  <si>
    <t>вул. Лавреньова, 12, м. Херсон, Херсонська обл., 73000</t>
  </si>
  <si>
    <t>а-UA-21-19-116-І-СР-ІІ-СР-V-ММ-МР</t>
  </si>
  <si>
    <t xml:space="preserve">Постернак Ірина Іванівна </t>
  </si>
  <si>
    <t>Донський ОТЧПСА, 1985</t>
  </si>
  <si>
    <t>21-19-18</t>
  </si>
  <si>
    <t>ФОП Колос С.В.</t>
  </si>
  <si>
    <t>шосе В. Чорновола, 17, а, м. Херсон, Херсонська обл., 73000</t>
  </si>
  <si>
    <t>а-UA-21-19-117-І-СР-ІІ-СР-V-ММ-МР</t>
  </si>
  <si>
    <t>2791918101</t>
  </si>
  <si>
    <t>ФОП Вознесенська Н.П</t>
  </si>
  <si>
    <t>вул. Потьомкінська, 88, м. Херсон, Херсонська обл., 73000</t>
  </si>
  <si>
    <t>а-UA-21-19-123-І-СР-ІІ-СР-V-ММ-МР</t>
  </si>
  <si>
    <t>2241203580</t>
  </si>
  <si>
    <t>ФОП Урсуленко О.А.</t>
  </si>
  <si>
    <t>вул. 14 Східна, 5, м. Херсон, Херсонська обл., 73000</t>
  </si>
  <si>
    <t>21-19-05-Mt</t>
  </si>
  <si>
    <t>2500100736</t>
  </si>
  <si>
    <t xml:space="preserve">ФОП Бородіна Л.В. </t>
  </si>
  <si>
    <t>вул. 23 Східна, 43, м. Херсон, Херсонська обл., 73000</t>
  </si>
  <si>
    <t>21-19-73-Mt</t>
  </si>
  <si>
    <t>2636022460</t>
  </si>
  <si>
    <t>21-19-74-Mt</t>
  </si>
  <si>
    <t xml:space="preserve">Слива Олександр Павлович </t>
  </si>
  <si>
    <t>Національний аграрний університет, 2007</t>
  </si>
  <si>
    <t>21-19-19</t>
  </si>
  <si>
    <t>вул. 9 Східна, 70, м. Херсон, херсонська обл., 73000</t>
  </si>
  <si>
    <t>вул. І.Кулика, б. 114 ж, м. Херсон, Херсонська обл., 73000</t>
  </si>
  <si>
    <t>а-UA-21-19-116І-СР-ІІ-СР-V-ММ-МР</t>
  </si>
  <si>
    <t>Панфьорова Лариса Миколаївна</t>
  </si>
  <si>
    <t>21-20-16</t>
  </si>
  <si>
    <t>ФОП Леліков с. А.</t>
  </si>
  <si>
    <t>вул. Першотравнева, 37, м. Нова Каховка, Херсонська обл., 74900</t>
  </si>
  <si>
    <t>21-20-362-Mt</t>
  </si>
  <si>
    <t>2667921314</t>
  </si>
  <si>
    <t xml:space="preserve">Гайдай Олександр Іванович </t>
  </si>
  <si>
    <t>Одеський сільскогосподарський інститут, 1991</t>
  </si>
  <si>
    <t>21-20-03</t>
  </si>
  <si>
    <t>ТОВ "Мрія"</t>
  </si>
  <si>
    <t>вул. Промислова 4б, м. Таврійськ, Херсонська обл., 74988</t>
  </si>
  <si>
    <t>21-20-03-Mt</t>
  </si>
  <si>
    <t xml:space="preserve">31278091 </t>
  </si>
  <si>
    <t xml:space="preserve"> ПП "Савіч"</t>
  </si>
  <si>
    <t xml:space="preserve">вул. Першотравнева. 77 є, м. Нова Каховка, Херсонська обл., 74900 </t>
  </si>
  <si>
    <t>а-UA- 21-20-13- V-MP</t>
  </si>
  <si>
    <t>24109463</t>
  </si>
  <si>
    <t>ФОП Кобець О.О</t>
  </si>
  <si>
    <t>перехрестя вулиці Горького та проспекту Перемоги                   біля буд. № 13</t>
  </si>
  <si>
    <t>а-UA-21-20-12-I-CP</t>
  </si>
  <si>
    <t>2453919933</t>
  </si>
  <si>
    <t xml:space="preserve">Перехрестя вул. Букіна та вул. Жовтневої., м. Нова Каховка, Херонська обл., 74900 </t>
  </si>
  <si>
    <t>а-UA-21-20-09-I-CP</t>
  </si>
  <si>
    <t xml:space="preserve">вул. Першотравнева 49А, м. Нова Каховка, Херсонська обл., 74900 </t>
  </si>
  <si>
    <t>а-UA-21-20-18-V-MP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</si>
</sst>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1"/>
      <color rgb="FF000000"/>
      <name val="Inconsolata"/>
    </font>
    <font>
      <sz val="10"/>
      <name val="Arial"/>
    </font>
    <font>
      <sz val="10"/>
      <name val="Times New Roman"/>
    </font>
    <font>
      <sz val="9"/>
      <name val="Arial"/>
    </font>
    <font>
      <sz val="14"/>
      <color rgb="FF000000"/>
      <name val="Times New Roman"/>
    </font>
    <font>
      <sz val="11"/>
      <color rgb="FF000000"/>
      <name val="Times New Roman"/>
    </font>
    <font>
      <sz val="10"/>
      <name val="Arial"/>
    </font>
    <font>
      <sz val="11"/>
      <color rgb="FF006600"/>
      <name val="Arial"/>
    </font>
    <font>
      <sz val="14"/>
      <name val="Times New Roman"/>
    </font>
    <font>
      <sz val="14"/>
      <name val="&quot;Times New Roman&quot;"/>
    </font>
    <font>
      <sz val="14"/>
      <color rgb="FF000000"/>
      <name val="&quot;Times New Roman&quot;"/>
    </font>
    <font>
      <sz val="14"/>
      <name val="Arial"/>
    </font>
    <font>
      <sz val="14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4" borderId="0" xfId="0" applyFont="1" applyFill="1" applyAlignment="1"/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/>
    <xf numFmtId="49" fontId="1" fillId="0" borderId="0" xfId="0" applyNumberFormat="1" applyFont="1" applyAlignment="1"/>
    <xf numFmtId="0" fontId="4" fillId="0" borderId="0" xfId="0" applyFont="1" applyAlignment="1">
      <alignment vertical="center"/>
    </xf>
    <xf numFmtId="0" fontId="3" fillId="4" borderId="0" xfId="0" applyFont="1" applyFill="1" applyAlignment="1"/>
    <xf numFmtId="0" fontId="6" fillId="3" borderId="0" xfId="0" applyFont="1" applyFill="1"/>
    <xf numFmtId="0" fontId="1" fillId="6" borderId="0" xfId="0" applyFont="1" applyFill="1"/>
    <xf numFmtId="0" fontId="3" fillId="6" borderId="0" xfId="0" applyFont="1" applyFill="1"/>
    <xf numFmtId="0" fontId="3" fillId="3" borderId="0" xfId="0" applyFont="1" applyFill="1"/>
    <xf numFmtId="0" fontId="7" fillId="4" borderId="0" xfId="0" applyFont="1" applyFill="1" applyAlignment="1"/>
    <xf numFmtId="0" fontId="3" fillId="4" borderId="0" xfId="0" applyFont="1" applyFill="1" applyAlignment="1"/>
    <xf numFmtId="0" fontId="3" fillId="4" borderId="0" xfId="0" applyFont="1" applyFill="1" applyAlignment="1"/>
    <xf numFmtId="0" fontId="8" fillId="2" borderId="0" xfId="0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textRotation="90" wrapText="1"/>
    </xf>
    <xf numFmtId="49" fontId="9" fillId="3" borderId="0" xfId="0" applyNumberFormat="1" applyFont="1" applyFill="1" applyAlignment="1">
      <alignment horizontal="center" vertical="center" textRotation="90" wrapText="1"/>
    </xf>
    <xf numFmtId="49" fontId="9" fillId="3" borderId="0" xfId="0" applyNumberFormat="1" applyFont="1" applyFill="1" applyAlignment="1">
      <alignment horizontal="center" vertical="center" wrapText="1"/>
    </xf>
    <xf numFmtId="49" fontId="9" fillId="5" borderId="0" xfId="0" applyNumberFormat="1" applyFont="1" applyFill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" fillId="4" borderId="0" xfId="0" applyNumberFormat="1" applyFont="1" applyFill="1" applyAlignment="1"/>
    <xf numFmtId="49" fontId="9" fillId="5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5" borderId="0" xfId="0" applyNumberFormat="1" applyFont="1" applyFill="1" applyAlignment="1">
      <alignment horizontal="center" vertical="center" wrapText="1"/>
    </xf>
    <xf numFmtId="49" fontId="5" fillId="5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/>
    <xf numFmtId="3" fontId="9" fillId="0" borderId="0" xfId="0" applyNumberFormat="1" applyFont="1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9" fontId="9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994"/>
  <sheetViews>
    <sheetView workbookViewId="0"/>
  </sheetViews>
  <sheetFormatPr defaultColWidth="14.42578125" defaultRowHeight="15.75" customHeight="1"/>
  <cols>
    <col min="20" max="20" width="31" customWidth="1"/>
    <col min="21" max="21" width="80.140625" customWidth="1"/>
    <col min="22" max="22" width="27.140625" customWidth="1"/>
  </cols>
  <sheetData>
    <row r="1" spans="1:36" ht="15.75" customHeight="1">
      <c r="A1" s="2" t="s">
        <v>0</v>
      </c>
      <c r="B1" s="2"/>
      <c r="C1" s="2"/>
      <c r="D1" s="2"/>
      <c r="E1" s="2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/>
      <c r="V1" s="2"/>
      <c r="W1" s="2"/>
      <c r="X1" s="2"/>
      <c r="Y1" s="2"/>
      <c r="Z1" s="2"/>
      <c r="AA1" s="2"/>
      <c r="AB1" s="2" t="s">
        <v>16</v>
      </c>
      <c r="AC1" s="2" t="s">
        <v>17</v>
      </c>
      <c r="AD1" s="2" t="s">
        <v>18</v>
      </c>
      <c r="AE1" s="2" t="s">
        <v>19</v>
      </c>
      <c r="AF1" s="2" t="s">
        <v>20</v>
      </c>
      <c r="AG1" s="2" t="s">
        <v>21</v>
      </c>
      <c r="AH1" s="2" t="s">
        <v>22</v>
      </c>
      <c r="AI1" s="2" t="s">
        <v>23</v>
      </c>
      <c r="AJ1" s="5" t="s">
        <v>24</v>
      </c>
    </row>
    <row r="2" spans="1:36" ht="15.75" customHeight="1">
      <c r="A2" s="8" t="str">
        <f ca="1">IFERROR(__xludf.DUMMYFUNCTION("UNIQUE ('Вінницька'!C1)"),"Повна назва оператора ринку харчових продукт, на яких буде здійснюватися державний ветеринарно-санітарний контроль")</f>
        <v>Повна назва оператора ринку харчових продукт, на яких буде здійснюватися державний ветеринарно-санітарний контроль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1" t="str">
        <f ca="1">IFERROR(__xludf.DUMMYFUNCTION("UNIQUE ('Черкаська'!C1)"),"Повна назва оператора ринку харчових продукт, на яких буде здійснюватися державний ветеринарно-санітарний контроль")</f>
        <v>Повна назва оператора ринку харчових продукт, на яких буде здійснюватися державний ветеринарно-санітарний контроль</v>
      </c>
      <c r="AH2" s="9"/>
      <c r="AI2" s="12" t="str">
        <f ca="1">IFERROR(__xludf.DUMMYFUNCTION("UNIQUE ('Чернігівська'!C1)"),"Повна назва оператора ринку харчових продукт, на яких буде здійснюватися державний ветеринарно-санітарний контроль")</f>
        <v>Повна назва оператора ринку харчових продукт, на яких буде здійснюватися державний ветеринарно-санітарний контроль</v>
      </c>
      <c r="AJ2" s="9"/>
    </row>
    <row r="3" spans="1:36" ht="15.75" customHeight="1">
      <c r="A3" s="8" t="str">
        <f ca="1">IFERROR(__xludf.DUMMYFUNCTION("UNIQUE ('Вінницька'!C2)"),"")</f>
        <v/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5"/>
      <c r="T3" s="13" t="str">
        <f ca="1">IFERROR(__xludf.DUMMYFUNCTION("UNIQUE ('Рівненська'!C2)"),"")</f>
        <v/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1" t="str">
        <f ca="1">IFERROR(__xludf.DUMMYFUNCTION("UNIQUE ('Черкаська'!C2)"),"")</f>
        <v/>
      </c>
      <c r="AH3" s="9"/>
      <c r="AI3" s="12" t="str">
        <f ca="1">IFERROR(__xludf.DUMMYFUNCTION("UNIQUE ('Чернігівська'!C2)"),"")</f>
        <v/>
      </c>
      <c r="AJ3" s="9"/>
    </row>
    <row r="4" spans="1:36" ht="15.75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3" t="str">
        <f ca="1">IFERROR(__xludf.DUMMYFUNCTION("UNIQUE ('Рівненська'!C3)"),"ТзОВ ""Маяк-3"" ")</f>
        <v xml:space="preserve">ТзОВ "Маяк-3" </v>
      </c>
      <c r="U4" s="13" t="str">
        <f ca="1">IFERROR(__xludf.DUMMYFUNCTION("UNIQUE ('Рівненська'!D3)"),"вул. Шевченка, 81, с. Верхівськ, Рівненський р-н, Рівненська обл., 35336")</f>
        <v>вул. Шевченка, 81, с. Верхівськ, Рівненський р-н, Рівненська обл., 35336</v>
      </c>
      <c r="V4" s="13" t="str">
        <f ca="1">IFERROR(__xludf.DUMMYFUNCTION("UNIQUE ('Рівненська'!E3)"),"а-UA-17-01-307-II-SНCP")</f>
        <v>а-UA-17-01-307-II-SНCP</v>
      </c>
      <c r="W4" s="13" t="str">
        <f ca="1">IFERROR(__xludf.DUMMYFUNCTION("UNIQUE ('Рівненська'!F3)"),"33521351")</f>
        <v>33521351</v>
      </c>
      <c r="X4" s="12" t="str">
        <f ca="1">IFERROR(__xludf.DUMMYFUNCTION("UNIQUE ('Рівненська'!G3)"),"*")</f>
        <v>*</v>
      </c>
      <c r="Y4" s="12" t="str">
        <f ca="1">IFERROR(__xludf.DUMMYFUNCTION("UNIQUE ('Рівненська'!H3)"),"")</f>
        <v/>
      </c>
      <c r="Z4" s="12" t="str">
        <f ca="1">IFERROR(__xludf.DUMMYFUNCTION("UNIQUE ('Рівненська'!I3)"),"")</f>
        <v/>
      </c>
      <c r="AA4" s="17" t="e">
        <f>COUNTA (T:T)</f>
        <v>#NAME?</v>
      </c>
      <c r="AB4" s="9"/>
      <c r="AC4" s="9"/>
      <c r="AD4" s="9"/>
      <c r="AE4" s="9"/>
      <c r="AF4" s="9"/>
      <c r="AG4" s="11" t="str">
        <f ca="1">IFERROR(__xludf.DUMMYFUNCTION("UNIQUE ('Черкаська'!C3)"),"ФОП Яровенко О.О.")</f>
        <v>ФОП Яровенко О.О.</v>
      </c>
      <c r="AH4" s="9"/>
      <c r="AI4" s="12" t="str">
        <f ca="1">IFERROR(__xludf.DUMMYFUNCTION("UNIQUE ('Чернігівська'!C3)"),"ПП ""Едельвейс""")</f>
        <v>ПП "Едельвейс"</v>
      </c>
      <c r="AJ4" s="9"/>
    </row>
    <row r="5" spans="1:36" ht="15.75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3" t="str">
        <f ca="1">IFERROR(__xludf.DUMMYFUNCTION("UNIQUE ('Рівненська'!C4)"),"")</f>
        <v/>
      </c>
      <c r="U5" s="13" t="str">
        <f ca="1">IFERROR(__xludf.DUMMYFUNCTION("UNIQUE ('Рівненська'!D4)"),"")</f>
        <v/>
      </c>
      <c r="V5" s="13" t="str">
        <f ca="1">IFERROR(__xludf.DUMMYFUNCTION("UNIQUE ('Рівненська'!E4)"),"")</f>
        <v/>
      </c>
      <c r="W5" s="13" t="str">
        <f ca="1">IFERROR(__xludf.DUMMYFUNCTION("UNIQUE ('Рівненська'!F4)"),"")</f>
        <v/>
      </c>
      <c r="X5" s="12" t="str">
        <f ca="1">IFERROR(__xludf.DUMMYFUNCTION("UNIQUE ('Рівненська'!G4)"),"")</f>
        <v/>
      </c>
      <c r="Y5" s="12" t="str">
        <f ca="1">IFERROR(__xludf.DUMMYFUNCTION("UNIQUE ('Рівненська'!H4)"),"")</f>
        <v/>
      </c>
      <c r="Z5" s="12" t="str">
        <f ca="1">IFERROR(__xludf.DUMMYFUNCTION("UNIQUE ('Рівненська'!I4)"),"")</f>
        <v/>
      </c>
      <c r="AA5" s="17" t="e">
        <f>COUNTA (S:S)</f>
        <v>#NAME?</v>
      </c>
      <c r="AB5" s="9"/>
      <c r="AC5" s="9"/>
      <c r="AD5" s="9"/>
      <c r="AE5" s="9"/>
      <c r="AF5" s="9"/>
      <c r="AG5" s="11" t="str">
        <f ca="1">IFERROR(__xludf.DUMMYFUNCTION("UNIQUE ('Черкаська'!C4)"),"")</f>
        <v/>
      </c>
      <c r="AH5" s="9"/>
      <c r="AI5" s="12" t="str">
        <f ca="1">IFERROR(__xludf.DUMMYFUNCTION("UNIQUE ('Чернігівська'!C4)"),"")</f>
        <v/>
      </c>
      <c r="AJ5" s="9"/>
    </row>
    <row r="6" spans="1:36" ht="15.75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3" t="str">
        <f ca="1">IFERROR(__xludf.DUMMYFUNCTION("UNIQUE ('Рівненська'!C5)")," Березнівське КЗП")</f>
        <v xml:space="preserve"> Березнівське КЗП</v>
      </c>
      <c r="U6" s="13" t="str">
        <f ca="1">IFERROR(__xludf.DUMMYFUNCTION("UNIQUE ('Рівненська'!D5)"),"вул. Зірненська, 18, м. Березне, Рівненська обл., 34600")</f>
        <v>вул. Зірненська, 18, м. Березне, Рівненська обл., 34600</v>
      </c>
      <c r="V6" s="13" t="str">
        <f ca="1">IFERROR(__xludf.DUMMYFUNCTION("UNIQUE ('Рівненська'!E5)"),"17-01-09 Mt")</f>
        <v>17-01-09 Mt</v>
      </c>
      <c r="W6" s="13" t="str">
        <f ca="1">IFERROR(__xludf.DUMMYFUNCTION("UNIQUE ('Рівненська'!F5)"),"01785635")</f>
        <v>01785635</v>
      </c>
      <c r="X6" s="12" t="str">
        <f ca="1">IFERROR(__xludf.DUMMYFUNCTION("UNIQUE ('Рівненська'!G5)"),"")</f>
        <v/>
      </c>
      <c r="Y6" s="12" t="str">
        <f ca="1">IFERROR(__xludf.DUMMYFUNCTION("UNIQUE ('Рівненська'!H5)"),"*")</f>
        <v>*</v>
      </c>
      <c r="Z6" s="12" t="str">
        <f ca="1">IFERROR(__xludf.DUMMYFUNCTION("UNIQUE ('Рівненська'!I5)"),"")</f>
        <v/>
      </c>
      <c r="AA6" s="9"/>
      <c r="AB6" s="9"/>
      <c r="AC6" s="9"/>
      <c r="AD6" s="9"/>
      <c r="AE6" s="9"/>
      <c r="AF6" s="9"/>
      <c r="AG6" s="11" t="str">
        <f ca="1">IFERROR(__xludf.DUMMYFUNCTION("UNIQUE ('Черкаська'!C5)"),"ТОВ ""Агро-Рось""")</f>
        <v>ТОВ "Агро-Рось"</v>
      </c>
      <c r="AH6" s="9"/>
      <c r="AI6" s="12" t="str">
        <f ca="1">IFERROR(__xludf.DUMMYFUNCTION("UNIQUE ('Чернігівська'!C5)"),"ТОВ ""Журавка""")</f>
        <v>ТОВ "Журавка"</v>
      </c>
      <c r="AJ6" s="9"/>
    </row>
    <row r="7" spans="1:36" ht="15.75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3" t="str">
        <f ca="1">IFERROR(__xludf.DUMMYFUNCTION("UNIQUE ('Рівненська'!C6)")," ФОП Логвинчук Сергій Юрійович")</f>
        <v xml:space="preserve"> ФОП Логвинчук Сергій Юрійович</v>
      </c>
      <c r="U7" s="13" t="str">
        <f ca="1">IFERROR(__xludf.DUMMYFUNCTION("UNIQUE ('Рівненська'!D6)"),"вул. Зірненська, 18, м. Березне, Рівненська обл., 34600")</f>
        <v>вул. Зірненська, 18, м. Березне, Рівненська обл., 34600</v>
      </c>
      <c r="V7" s="13" t="str">
        <f ca="1">IFERROR(__xludf.DUMMYFUNCTION("UNIQUE ('Рівненська'!E6)"),"a-UA-17-01-391-V-MP-VI-PP")</f>
        <v>a-UA-17-01-391-V-MP-VI-PP</v>
      </c>
      <c r="W7" s="13" t="str">
        <f ca="1">IFERROR(__xludf.DUMMYFUNCTION("UNIQUE ('Рівненська'!F6)"),"3228011495")</f>
        <v>3228011495</v>
      </c>
      <c r="X7" s="12" t="str">
        <f ca="1">IFERROR(__xludf.DUMMYFUNCTION("UNIQUE ('Рівненська'!G6)"),"")</f>
        <v/>
      </c>
      <c r="Y7" s="12" t="str">
        <f ca="1">IFERROR(__xludf.DUMMYFUNCTION("UNIQUE ('Рівненська'!H6)"),"*")</f>
        <v>*</v>
      </c>
      <c r="Z7" s="12" t="str">
        <f ca="1">IFERROR(__xludf.DUMMYFUNCTION("UNIQUE ('Рівненська'!I6)"),"")</f>
        <v/>
      </c>
      <c r="AA7" s="9"/>
      <c r="AB7" s="9"/>
      <c r="AC7" s="9"/>
      <c r="AD7" s="9"/>
      <c r="AE7" s="9"/>
      <c r="AF7" s="9"/>
      <c r="AG7" s="11" t="str">
        <f ca="1">IFERROR(__xludf.DUMMYFUNCTION("UNIQUE ('Черкаська'!C6)"),"")</f>
        <v/>
      </c>
      <c r="AH7" s="9"/>
      <c r="AI7" s="12" t="str">
        <f ca="1">IFERROR(__xludf.DUMMYFUNCTION("UNIQUE ('Чернігівська'!C6)"),"")</f>
        <v/>
      </c>
      <c r="AJ7" s="9"/>
    </row>
    <row r="8" spans="1:36" ht="15.75" customHeight="1">
      <c r="A8" s="1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3" t="str">
        <f ca="1">IFERROR(__xludf.DUMMYFUNCTION("UNIQUE ('Рівненська'!C7)"),"")</f>
        <v/>
      </c>
      <c r="U8" s="13" t="str">
        <f ca="1">IFERROR(__xludf.DUMMYFUNCTION("UNIQUE ('Рівненська'!D7)"),"")</f>
        <v/>
      </c>
      <c r="V8" s="13" t="str">
        <f ca="1">IFERROR(__xludf.DUMMYFUNCTION("UNIQUE ('Рівненська'!E7)"),"")</f>
        <v/>
      </c>
      <c r="W8" s="13" t="str">
        <f ca="1">IFERROR(__xludf.DUMMYFUNCTION("UNIQUE ('Рівненська'!F7)"),"")</f>
        <v/>
      </c>
      <c r="X8" s="12" t="str">
        <f ca="1">IFERROR(__xludf.DUMMYFUNCTION("UNIQUE ('Рівненська'!G7)"),"")</f>
        <v/>
      </c>
      <c r="Y8" s="12" t="str">
        <f ca="1">IFERROR(__xludf.DUMMYFUNCTION("UNIQUE ('Рівненська'!H7)"),"")</f>
        <v/>
      </c>
      <c r="Z8" s="12" t="str">
        <f ca="1">IFERROR(__xludf.DUMMYFUNCTION("UNIQUE ('Рівненська'!I7)"),"")</f>
        <v/>
      </c>
      <c r="AA8" s="9"/>
      <c r="AB8" s="9"/>
      <c r="AC8" s="9"/>
      <c r="AD8" s="9"/>
      <c r="AE8" s="9"/>
      <c r="AF8" s="9"/>
      <c r="AG8" s="11" t="str">
        <f ca="1">IFERROR(__xludf.DUMMYFUNCTION("UNIQUE ('Черкаська'!C7)"),"ТОВ ""Агро-Рось""")</f>
        <v>ТОВ "Агро-Рось"</v>
      </c>
      <c r="AH8" s="9"/>
      <c r="AI8" s="12" t="str">
        <f ca="1">IFERROR(__xludf.DUMMYFUNCTION("UNIQUE ('Чернігівська'!C7)"),"ПАТ ""Блок Агросвіт""")</f>
        <v>ПАТ "Блок Агросвіт"</v>
      </c>
      <c r="AJ8" s="9"/>
    </row>
    <row r="9" spans="1:36" ht="15.75" customHeight="1">
      <c r="A9" s="14"/>
      <c r="B9" s="9"/>
      <c r="C9" s="9"/>
      <c r="D9" s="9"/>
      <c r="E9" s="9"/>
      <c r="F9" s="9"/>
      <c r="G9" s="9"/>
      <c r="H9" s="5"/>
      <c r="I9" s="23"/>
      <c r="J9" s="9"/>
      <c r="K9" s="9"/>
      <c r="L9" s="9"/>
      <c r="M9" s="9"/>
      <c r="N9" s="9"/>
      <c r="O9" s="9"/>
      <c r="P9" s="9"/>
      <c r="Q9" s="9"/>
      <c r="R9" s="9"/>
      <c r="S9" s="9"/>
      <c r="T9" s="13" t="str">
        <f ca="1">IFERROR(__xludf.DUMMYFUNCTION("UNIQUE ('Рівненська'!C8)"),"ФОП Стасюк Анатолій Володимирович")</f>
        <v>ФОП Стасюк Анатолій Володимирович</v>
      </c>
      <c r="U9" s="13" t="str">
        <f ca="1">IFERROR(__xludf.DUMMYFUNCTION("UNIQUE ('Рівненська'!D8)"),"смт Соснове, вул. Колгоспна, 50, Березнівський р-н, Рівненська обл., 34652")</f>
        <v>смт Соснове, вул. Колгоспна, 50, Березнівський р-н, Рівненська обл., 34652</v>
      </c>
      <c r="V9" s="13" t="str">
        <f ca="1">IFERROR(__xludf.DUMMYFUNCTION("UNIQUE ('Рівненська'!E8)"),"17-01-14 Mt")</f>
        <v>17-01-14 Mt</v>
      </c>
      <c r="W9" s="13" t="str">
        <f ca="1">IFERROR(__xludf.DUMMYFUNCTION("UNIQUE ('Рівненська'!F8)"),"2498103157")</f>
        <v>2498103157</v>
      </c>
      <c r="X9" s="12" t="str">
        <f ca="1">IFERROR(__xludf.DUMMYFUNCTION("UNIQUE ('Рівненська'!G8)"),"")</f>
        <v/>
      </c>
      <c r="Y9" s="12" t="str">
        <f ca="1">IFERROR(__xludf.DUMMYFUNCTION("UNIQUE ('Рівненська'!H8)"),"*")</f>
        <v>*</v>
      </c>
      <c r="Z9" s="12" t="str">
        <f ca="1">IFERROR(__xludf.DUMMYFUNCTION("UNIQUE ('Рівненська'!I8)"),"")</f>
        <v/>
      </c>
      <c r="AA9" s="9"/>
      <c r="AB9" s="9"/>
      <c r="AC9" s="9"/>
      <c r="AD9" s="9"/>
      <c r="AE9" s="9"/>
      <c r="AF9" s="9"/>
      <c r="AG9" s="11" t="str">
        <f ca="1">IFERROR(__xludf.DUMMYFUNCTION("UNIQUE ('Черкаська'!C8)"),"")</f>
        <v/>
      </c>
      <c r="AH9" s="9"/>
      <c r="AI9" s="12" t="str">
        <f ca="1">IFERROR(__xludf.DUMMYFUNCTION("UNIQUE ('Чернігівська'!C8)"),"")</f>
        <v/>
      </c>
      <c r="AJ9" s="9"/>
    </row>
    <row r="10" spans="1:36" ht="15.75" customHeight="1">
      <c r="A10" s="14"/>
      <c r="B10" s="9"/>
      <c r="C10" s="9"/>
      <c r="D10" s="9"/>
      <c r="E10" s="9"/>
      <c r="F10" s="9"/>
      <c r="G10" s="9"/>
      <c r="H10" s="5"/>
      <c r="I10" s="23"/>
      <c r="J10" s="9"/>
      <c r="K10" s="9"/>
      <c r="L10" s="9"/>
      <c r="M10" s="9"/>
      <c r="N10" s="9"/>
      <c r="O10" s="9"/>
      <c r="P10" s="9"/>
      <c r="Q10" s="9"/>
      <c r="R10" s="9"/>
      <c r="S10" s="9"/>
      <c r="T10" s="13" t="str">
        <f ca="1">IFERROR(__xludf.DUMMYFUNCTION("UNIQUE ('Рівненська'!C9)"),"ФОП Перець Віктор Миколайович")</f>
        <v>ФОП Перець Віктор Миколайович</v>
      </c>
      <c r="U10" s="13" t="str">
        <f ca="1">IFERROR(__xludf.DUMMYFUNCTION("UNIQUE ('Рівненська'!D9)"),"вул. Набережна, 2, смт Соснове, Березнівський р-н, Рівненська обл., 34652")</f>
        <v>вул. Набережна, 2, смт Соснове, Березнівський р-н, Рівненська обл., 34652</v>
      </c>
      <c r="V10" s="13" t="str">
        <f ca="1">IFERROR(__xludf.DUMMYFUNCTION("UNIQUE ('Рівненська'!E9)"),"17-01-12 Мt, РМ")</f>
        <v>17-01-12 Мt, РМ</v>
      </c>
      <c r="W10" s="13" t="str">
        <f ca="1">IFERROR(__xludf.DUMMYFUNCTION("UNIQUE ('Рівненська'!F9)"),"3228011495")</f>
        <v>3228011495</v>
      </c>
      <c r="X10" s="12" t="str">
        <f ca="1">IFERROR(__xludf.DUMMYFUNCTION("UNIQUE ('Рівненська'!G9)"),"*")</f>
        <v>*</v>
      </c>
      <c r="Y10" s="12" t="str">
        <f ca="1">IFERROR(__xludf.DUMMYFUNCTION("UNIQUE ('Рівненська'!H9)"),"*")</f>
        <v>*</v>
      </c>
      <c r="Z10" s="12" t="str">
        <f ca="1">IFERROR(__xludf.DUMMYFUNCTION("UNIQUE ('Рівненська'!I9)"),"")</f>
        <v/>
      </c>
      <c r="AA10" s="9"/>
      <c r="AB10" s="9"/>
      <c r="AC10" s="9"/>
      <c r="AD10" s="9"/>
      <c r="AE10" s="9"/>
      <c r="AF10" s="9"/>
      <c r="AG10" s="11" t="str">
        <f ca="1">IFERROR(__xludf.DUMMYFUNCTION("UNIQUE ('Черкаська'!C9)"),"ТОВ ""Консервний завод ""Цибулів""")</f>
        <v>ТОВ "Консервний завод "Цибулів"</v>
      </c>
      <c r="AH10" s="9"/>
      <c r="AI10" s="12" t="str">
        <f ca="1">IFERROR(__xludf.DUMMYFUNCTION("UNIQUE ('Чернігівська'!C9)"),"ТОВ ""Еком’ясопродукт""")</f>
        <v>ТОВ "Еком’ясопродукт"</v>
      </c>
      <c r="AJ10" s="9"/>
    </row>
    <row r="11" spans="1:36" ht="15.75" customHeight="1">
      <c r="A11" s="14"/>
      <c r="B11" s="9"/>
      <c r="C11" s="9"/>
      <c r="D11" s="9"/>
      <c r="E11" s="9"/>
      <c r="F11" s="9"/>
      <c r="G11" s="9"/>
      <c r="H11" s="5"/>
      <c r="I11" s="23"/>
      <c r="J11" s="9"/>
      <c r="K11" s="9"/>
      <c r="L11" s="9"/>
      <c r="M11" s="9"/>
      <c r="N11" s="9"/>
      <c r="O11" s="9"/>
      <c r="P11" s="9"/>
      <c r="Q11" s="9"/>
      <c r="R11" s="9"/>
      <c r="S11" s="9"/>
      <c r="T11" s="13" t="str">
        <f ca="1">IFERROR(__xludf.DUMMYFUNCTION("UNIQUE ('Рівненська'!C10)"),"")</f>
        <v/>
      </c>
      <c r="U11" s="13" t="str">
        <f ca="1">IFERROR(__xludf.DUMMYFUNCTION("UNIQUE ('Рівненська'!D10)"),"")</f>
        <v/>
      </c>
      <c r="V11" s="13" t="str">
        <f ca="1">IFERROR(__xludf.DUMMYFUNCTION("UNIQUE ('Рівненська'!E10)"),"")</f>
        <v/>
      </c>
      <c r="W11" s="13" t="str">
        <f ca="1">IFERROR(__xludf.DUMMYFUNCTION("UNIQUE ('Рівненська'!F10)"),"")</f>
        <v/>
      </c>
      <c r="X11" s="12" t="str">
        <f ca="1">IFERROR(__xludf.DUMMYFUNCTION("UNIQUE ('Рівненська'!G10)"),"")</f>
        <v/>
      </c>
      <c r="Y11" s="12" t="str">
        <f ca="1">IFERROR(__xludf.DUMMYFUNCTION("UNIQUE ('Рівненська'!H10)"),"")</f>
        <v/>
      </c>
      <c r="Z11" s="12" t="str">
        <f ca="1">IFERROR(__xludf.DUMMYFUNCTION("UNIQUE ('Рівненська'!I10)"),"")</f>
        <v/>
      </c>
      <c r="AA11" s="9"/>
      <c r="AB11" s="9"/>
      <c r="AC11" s="9"/>
      <c r="AD11" s="9"/>
      <c r="AE11" s="9"/>
      <c r="AF11" s="9"/>
      <c r="AG11" s="11" t="str">
        <f ca="1">IFERROR(__xludf.DUMMYFUNCTION("UNIQUE ('Черкаська'!C10)"),"")</f>
        <v/>
      </c>
      <c r="AH11" s="9"/>
      <c r="AI11" s="12" t="str">
        <f ca="1">IFERROR(__xludf.DUMMYFUNCTION("UNIQUE ('Чернігівська'!C10)"),"")</f>
        <v/>
      </c>
      <c r="AJ11" s="9"/>
    </row>
    <row r="12" spans="1:36" ht="15.75" customHeight="1">
      <c r="A12" s="14"/>
      <c r="B12" s="9"/>
      <c r="C12" s="9"/>
      <c r="D12" s="9"/>
      <c r="E12" s="9"/>
      <c r="F12" s="9"/>
      <c r="G12" s="9"/>
      <c r="H12" s="5"/>
      <c r="I12" s="23"/>
      <c r="J12" s="9"/>
      <c r="K12" s="9"/>
      <c r="L12" s="9"/>
      <c r="M12" s="9"/>
      <c r="N12" s="9"/>
      <c r="O12" s="9"/>
      <c r="P12" s="9"/>
      <c r="Q12" s="9"/>
      <c r="R12" s="9"/>
      <c r="S12" s="9"/>
      <c r="T12" s="13" t="str">
        <f ca="1">IFERROR(__xludf.DUMMYFUNCTION("UNIQUE ('Рівненська'!C11)"),"ФОП Ковтун Жанна Мусіївна")</f>
        <v>ФОП Ковтун Жанна Мусіївна</v>
      </c>
      <c r="U12" s="13" t="str">
        <f ca="1">IFERROR(__xludf.DUMMYFUNCTION("UNIQUE ('Рівненська'!D11)"),"вул. 1 Травня, 25в, смт Володимирець, Рівненська обл., 34300")</f>
        <v>вул. 1 Травня, 25в, смт Володимирець, Рівненська обл., 34300</v>
      </c>
      <c r="V12" s="13" t="str">
        <f ca="1">IFERROR(__xludf.DUMMYFUNCTION("UNIQUE ('Рівненська'!E11)"),"")</f>
        <v/>
      </c>
      <c r="W12" s="13" t="str">
        <f ca="1">IFERROR(__xludf.DUMMYFUNCTION("UNIQUE ('Рівненська'!F11)"),"2456703960")</f>
        <v>2456703960</v>
      </c>
      <c r="X12" s="12" t="str">
        <f ca="1">IFERROR(__xludf.DUMMYFUNCTION("UNIQUE ('Рівненська'!G11)"),"*")</f>
        <v>*</v>
      </c>
      <c r="Y12" s="12" t="str">
        <f ca="1">IFERROR(__xludf.DUMMYFUNCTION("UNIQUE ('Рівненська'!H11)"),"*")</f>
        <v>*</v>
      </c>
      <c r="Z12" s="12" t="str">
        <f ca="1">IFERROR(__xludf.DUMMYFUNCTION("UNIQUE ('Рівненська'!I11)"),"")</f>
        <v/>
      </c>
      <c r="AA12" s="9"/>
      <c r="AB12" s="9"/>
      <c r="AC12" s="9"/>
      <c r="AD12" s="9"/>
      <c r="AE12" s="9"/>
      <c r="AF12" s="9"/>
      <c r="AG12" s="11" t="str">
        <f ca="1">IFERROR(__xludf.DUMMYFUNCTION("UNIQUE ('Черкаська'!C11)"),"ДП ""Перемога Нова""")</f>
        <v>ДП "Перемога Нова"</v>
      </c>
      <c r="AH12" s="9"/>
      <c r="AI12" s="12" t="str">
        <f ca="1">IFERROR(__xludf.DUMMYFUNCTION("UNIQUE ('Чернігівська'!C11)"),"ТОВ ""Лідер Продукт Плюс""")</f>
        <v>ТОВ "Лідер Продукт Плюс"</v>
      </c>
      <c r="AJ12" s="9"/>
    </row>
    <row r="13" spans="1:36" ht="15.75" customHeight="1">
      <c r="A13" s="14"/>
      <c r="B13" s="9"/>
      <c r="C13" s="9"/>
      <c r="D13" s="9"/>
      <c r="E13" s="9"/>
      <c r="F13" s="9"/>
      <c r="G13" s="9"/>
      <c r="H13" s="5"/>
      <c r="I13" s="23"/>
      <c r="J13" s="9"/>
      <c r="K13" s="9"/>
      <c r="L13" s="9"/>
      <c r="M13" s="9"/>
      <c r="N13" s="9"/>
      <c r="O13" s="9"/>
      <c r="P13" s="9"/>
      <c r="Q13" s="9"/>
      <c r="R13" s="9"/>
      <c r="S13" s="9"/>
      <c r="T13" s="13" t="str">
        <f ca="1">IFERROR(__xludf.DUMMYFUNCTION("UNIQUE ('Рівненська'!C12)"),"ФОП Сергійчук Дмитро Володимирович")</f>
        <v>ФОП Сергійчук Дмитро Володимирович</v>
      </c>
      <c r="U13" s="13" t="str">
        <f ca="1">IFERROR(__xludf.DUMMYFUNCTION("UNIQUE ('Рівненська'!D12)"),"Будівельна база № 1 та № 2 промислової зони, 49, м. Вараш, Рівненська обл., 34400")</f>
        <v>Будівельна база № 1 та № 2 промислової зони, 49, м. Вараш, Рівненська обл., 34400</v>
      </c>
      <c r="V13" s="13" t="str">
        <f ca="1">IFERROR(__xludf.DUMMYFUNCTION("UNIQUE ('Рівненська'!E12)"),"а-UA-17-02-402-VI-РP")</f>
        <v>а-UA-17-02-402-VI-РP</v>
      </c>
      <c r="W13" s="13" t="str">
        <f ca="1">IFERROR(__xludf.DUMMYFUNCTION("UNIQUE ('Рівненська'!F12)"),"3196610152")</f>
        <v>3196610152</v>
      </c>
      <c r="X13" s="12" t="str">
        <f ca="1">IFERROR(__xludf.DUMMYFUNCTION("UNIQUE ('Рівненська'!G12)"),"*")</f>
        <v>*</v>
      </c>
      <c r="Y13" s="12" t="str">
        <f ca="1">IFERROR(__xludf.DUMMYFUNCTION("UNIQUE ('Рівненська'!H12)"),"*")</f>
        <v>*</v>
      </c>
      <c r="Z13" s="12" t="str">
        <f ca="1">IFERROR(__xludf.DUMMYFUNCTION("UNIQUE ('Рівненська'!I12)"),"")</f>
        <v/>
      </c>
      <c r="AA13" s="9"/>
      <c r="AB13" s="9"/>
      <c r="AC13" s="9"/>
      <c r="AD13" s="9"/>
      <c r="AE13" s="9"/>
      <c r="AF13" s="9"/>
      <c r="AG13" s="11" t="str">
        <f ca="1">IFERROR(__xludf.DUMMYFUNCTION("UNIQUE ('Черкаська'!C12)"),"")</f>
        <v/>
      </c>
      <c r="AH13" s="9"/>
      <c r="AI13" s="12" t="str">
        <f ca="1">IFERROR(__xludf.DUMMYFUNCTION("UNIQUE ('Чернігівська'!C12)"),"")</f>
        <v/>
      </c>
      <c r="AJ13" s="9"/>
    </row>
    <row r="14" spans="1:36" ht="15.75" customHeight="1">
      <c r="A14" s="14"/>
      <c r="B14" s="9"/>
      <c r="C14" s="9"/>
      <c r="D14" s="9"/>
      <c r="E14" s="9"/>
      <c r="F14" s="9"/>
      <c r="G14" s="9"/>
      <c r="H14" s="5"/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13" t="str">
        <f ca="1">IFERROR(__xludf.DUMMYFUNCTION("UNIQUE ('Рівненська'!C13)"),"ФОП Ігнатюк Олексій Андрійович")</f>
        <v>ФОП Ігнатюк Олексій Андрійович</v>
      </c>
      <c r="U14" s="13" t="str">
        <f ca="1">IFERROR(__xludf.DUMMYFUNCTION("UNIQUE ('Рівненська'!D13)"),"Комунально-складська зона № 7, м. Вараш, Рівненська обл., 34400")</f>
        <v>Комунально-складська зона № 7, м. Вараш, Рівненська обл., 34400</v>
      </c>
      <c r="V14" s="13" t="str">
        <f ca="1">IFERROR(__xludf.DUMMYFUNCTION("UNIQUE ('Рівненська'!E13)"),"17-02-14 FP")</f>
        <v>17-02-14 FP</v>
      </c>
      <c r="W14" s="13" t="str">
        <f ca="1">IFERROR(__xludf.DUMMYFUNCTION("UNIQUE ('Рівненська'!F13)"),"1612906715")</f>
        <v>1612906715</v>
      </c>
      <c r="X14" s="12" t="str">
        <f ca="1">IFERROR(__xludf.DUMMYFUNCTION("UNIQUE ('Рівненська'!G13)"),"")</f>
        <v/>
      </c>
      <c r="Y14" s="12" t="str">
        <f ca="1">IFERROR(__xludf.DUMMYFUNCTION("UNIQUE ('Рівненська'!H13)"),"")</f>
        <v/>
      </c>
      <c r="Z14" s="12" t="str">
        <f ca="1">IFERROR(__xludf.DUMMYFUNCTION("UNIQUE ('Рівненська'!I13)"),"")</f>
        <v/>
      </c>
      <c r="AA14" s="9"/>
      <c r="AB14" s="9"/>
      <c r="AC14" s="9"/>
      <c r="AD14" s="9"/>
      <c r="AE14" s="9"/>
      <c r="AF14" s="9"/>
      <c r="AG14" s="11" t="str">
        <f ca="1">IFERROR(__xludf.DUMMYFUNCTION("UNIQUE ('Черкаська'!C13)"),"ТОВ ""Кролікофф-плюс""")</f>
        <v>ТОВ "Кролікофф-плюс"</v>
      </c>
      <c r="AH14" s="9"/>
      <c r="AI14" s="12" t="str">
        <f ca="1">IFERROR(__xludf.DUMMYFUNCTION("UNIQUE ('Чернігівська'!C13)"),"СФГ ""Колос""")</f>
        <v>СФГ "Колос"</v>
      </c>
      <c r="AJ14" s="9"/>
    </row>
    <row r="15" spans="1:36" ht="15.75" customHeight="1">
      <c r="A15" s="14"/>
      <c r="B15" s="9"/>
      <c r="C15" s="9"/>
      <c r="D15" s="9"/>
      <c r="E15" s="9"/>
      <c r="F15" s="9"/>
      <c r="G15" s="9"/>
      <c r="H15" s="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3" t="str">
        <f ca="1">IFERROR(__xludf.DUMMYFUNCTION("UNIQUE ('Рівненська'!C14)"),"ТОВ ""ПАККО Холдинг""")</f>
        <v>ТОВ "ПАККО Холдинг"</v>
      </c>
      <c r="U15" s="13" t="str">
        <f ca="1">IFERROR(__xludf.DUMMYFUNCTION("UNIQUE ('Рівненська'!D14)"),"мікрор-н, Будівельників, 57, м. Вараш, Рівненська обл., 34400")</f>
        <v>мікрор-н, Будівельників, 57, м. Вараш, Рівненська обл., 34400</v>
      </c>
      <c r="V15" s="13" t="str">
        <f ca="1">IFERROR(__xludf.DUMMYFUNCTION("UNIQUE ('Рівненська'!E14)"),"")</f>
        <v/>
      </c>
      <c r="W15" s="13" t="str">
        <f ca="1">IFERROR(__xludf.DUMMYFUNCTION("UNIQUE ('Рівненська'!F14)"),"34928470")</f>
        <v>34928470</v>
      </c>
      <c r="X15" s="12" t="str">
        <f ca="1">IFERROR(__xludf.DUMMYFUNCTION("UNIQUE ('Рівненська'!G14)"),"*")</f>
        <v>*</v>
      </c>
      <c r="Y15" s="12" t="str">
        <f ca="1">IFERROR(__xludf.DUMMYFUNCTION("UNIQUE ('Рівненська'!H14)"),"*")</f>
        <v>*</v>
      </c>
      <c r="Z15" s="12" t="str">
        <f ca="1">IFERROR(__xludf.DUMMYFUNCTION("UNIQUE ('Рівненська'!I14)"),"")</f>
        <v/>
      </c>
      <c r="AA15" s="9"/>
      <c r="AB15" s="9"/>
      <c r="AC15" s="9"/>
      <c r="AD15" s="9"/>
      <c r="AE15" s="9"/>
      <c r="AF15" s="9"/>
      <c r="AG15" s="11" t="str">
        <f ca="1">IFERROR(__xludf.DUMMYFUNCTION("UNIQUE ('Черкаська'!C14)"),"")</f>
        <v/>
      </c>
      <c r="AH15" s="9"/>
      <c r="AI15" s="12" t="str">
        <f ca="1">IFERROR(__xludf.DUMMYFUNCTION("UNIQUE ('Чернігівська'!C14)"),"")</f>
        <v/>
      </c>
      <c r="AJ15" s="9"/>
    </row>
    <row r="16" spans="1:36" ht="15.75" customHeight="1">
      <c r="A16" s="14"/>
      <c r="B16" s="9"/>
      <c r="C16" s="9"/>
      <c r="D16" s="9"/>
      <c r="E16" s="9"/>
      <c r="F16" s="9"/>
      <c r="G16" s="9"/>
      <c r="H16" s="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3" t="str">
        <f ca="1">IFERROR(__xludf.DUMMYFUNCTION("UNIQUE ('Рівненська'!C15)"),"")</f>
        <v/>
      </c>
      <c r="U16" s="13" t="str">
        <f ca="1">IFERROR(__xludf.DUMMYFUNCTION("UNIQUE ('Рівненська'!D15)"),"")</f>
        <v/>
      </c>
      <c r="V16" s="13" t="str">
        <f ca="1">IFERROR(__xludf.DUMMYFUNCTION("UNIQUE ('Рівненська'!E15)"),"")</f>
        <v/>
      </c>
      <c r="W16" s="13" t="str">
        <f ca="1">IFERROR(__xludf.DUMMYFUNCTION("UNIQUE ('Рівненська'!F15)"),"")</f>
        <v/>
      </c>
      <c r="X16" s="12" t="str">
        <f ca="1">IFERROR(__xludf.DUMMYFUNCTION("UNIQUE ('Рівненська'!G15)"),"")</f>
        <v/>
      </c>
      <c r="Y16" s="12" t="str">
        <f ca="1">IFERROR(__xludf.DUMMYFUNCTION("UNIQUE ('Рівненська'!H15)"),"")</f>
        <v/>
      </c>
      <c r="Z16" s="12" t="str">
        <f ca="1">IFERROR(__xludf.DUMMYFUNCTION("UNIQUE ('Рівненська'!I15)"),"")</f>
        <v/>
      </c>
      <c r="AA16" s="9"/>
      <c r="AB16" s="9"/>
      <c r="AC16" s="9"/>
      <c r="AD16" s="9"/>
      <c r="AE16" s="9"/>
      <c r="AF16" s="9"/>
      <c r="AG16" s="11" t="str">
        <f ca="1">IFERROR(__xludf.DUMMYFUNCTION("UNIQUE ('Черкаська'!C15)"),"Худобозабійний комплекс ФОП Гоюк Д.О.")</f>
        <v>Худобозабійний комплекс ФОП Гоюк Д.О.</v>
      </c>
      <c r="AH16" s="9"/>
      <c r="AI16" s="12" t="str">
        <f ca="1">IFERROR(__xludf.DUMMYFUNCTION("UNIQUE ('Чернігівська'!C15)"),"ФОП Єжкун В.О.")</f>
        <v>ФОП Єжкун В.О.</v>
      </c>
      <c r="AJ16" s="9"/>
    </row>
    <row r="17" spans="1:36" ht="15.75" customHeight="1">
      <c r="A17" s="14"/>
      <c r="B17" s="9"/>
      <c r="C17" s="9"/>
      <c r="D17" s="9"/>
      <c r="E17" s="9"/>
      <c r="F17" s="9"/>
      <c r="G17" s="9"/>
      <c r="H17" s="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3" t="str">
        <f ca="1">IFERROR(__xludf.DUMMYFUNCTION("UNIQUE ('Рівненська'!C16)")," ТОВ ""Інус-ЛТД""")</f>
        <v xml:space="preserve"> ТОВ "Інус-ЛТД"</v>
      </c>
      <c r="U17" s="13" t="str">
        <f ca="1">IFERROR(__xludf.DUMMYFUNCTION("UNIQUE ('Рівненська'!D16)")," вул. Спортивна, 16, с. Тучин, Гощанський р-н, Рівненська обл., 35415")</f>
        <v xml:space="preserve"> вул. Спортивна, 16, с. Тучин, Гощанський р-н, Рівненська обл., 35415</v>
      </c>
      <c r="V17" s="13" t="str">
        <f ca="1">IFERROR(__xludf.DUMMYFUNCTION("UNIQUE ('Рівненська'!E16)"),"17-03-57 Mt, PM")</f>
        <v>17-03-57 Mt, PM</v>
      </c>
      <c r="W17" s="13" t="str">
        <f ca="1">IFERROR(__xludf.DUMMYFUNCTION("UNIQUE ('Рівненська'!F16)"),"30559927")</f>
        <v>30559927</v>
      </c>
      <c r="X17" s="12" t="str">
        <f ca="1">IFERROR(__xludf.DUMMYFUNCTION("UNIQUE ('Рівненська'!G16)"),"*")</f>
        <v>*</v>
      </c>
      <c r="Y17" s="12" t="str">
        <f ca="1">IFERROR(__xludf.DUMMYFUNCTION("UNIQUE ('Рівненська'!H16)"),"*")</f>
        <v>*</v>
      </c>
      <c r="Z17" s="12" t="str">
        <f ca="1">IFERROR(__xludf.DUMMYFUNCTION("UNIQUE ('Рівненська'!I16)"),"")</f>
        <v/>
      </c>
      <c r="AA17" s="9"/>
      <c r="AB17" s="9"/>
      <c r="AC17" s="9"/>
      <c r="AD17" s="9"/>
      <c r="AE17" s="9"/>
      <c r="AF17" s="9"/>
      <c r="AG17" s="11" t="str">
        <f ca="1">IFERROR(__xludf.DUMMYFUNCTION("UNIQUE ('Черкаська'!C16)"),"")</f>
        <v/>
      </c>
      <c r="AH17" s="9"/>
      <c r="AI17" s="12" t="str">
        <f ca="1">IFERROR(__xludf.DUMMYFUNCTION("UNIQUE ('Чернігівська'!C16)"),"")</f>
        <v/>
      </c>
      <c r="AJ17" s="9"/>
    </row>
    <row r="18" spans="1:36" ht="15.75" customHeight="1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3" t="str">
        <f ca="1">IFERROR(__xludf.DUMMYFUNCTION("UNIQUE ('Рівненська'!C17)")," ТОВ ""Інус-ЛТД""")</f>
        <v xml:space="preserve"> ТОВ "Інус-ЛТД"</v>
      </c>
      <c r="U18" s="13" t="str">
        <f ca="1">IFERROR(__xludf.DUMMYFUNCTION("UNIQUE ('Рівненська'!D17)")," вул. Освіти, 4, с. Тучин, Гощанський р-н, Рівненська обл., 35415")</f>
        <v xml:space="preserve"> вул. Освіти, 4, с. Тучин, Гощанський р-н, Рівненська обл., 35415</v>
      </c>
      <c r="V18" s="13" t="str">
        <f ca="1">IFERROR(__xludf.DUMMYFUNCTION("UNIQUE ('Рівненська'!E17)"),"17-03-37 Mt")</f>
        <v>17-03-37 Mt</v>
      </c>
      <c r="W18" s="13" t="str">
        <f ca="1">IFERROR(__xludf.DUMMYFUNCTION("UNIQUE ('Рівненська'!F17)"),"30559927")</f>
        <v>30559927</v>
      </c>
      <c r="X18" s="12" t="str">
        <f ca="1">IFERROR(__xludf.DUMMYFUNCTION("UNIQUE ('Рівненська'!G17)"),"")</f>
        <v/>
      </c>
      <c r="Y18" s="12" t="str">
        <f ca="1">IFERROR(__xludf.DUMMYFUNCTION("UNIQUE ('Рівненська'!H17)"),"*")</f>
        <v>*</v>
      </c>
      <c r="Z18" s="12" t="str">
        <f ca="1">IFERROR(__xludf.DUMMYFUNCTION("UNIQUE ('Рівненська'!I17)"),"")</f>
        <v/>
      </c>
      <c r="AA18" s="9"/>
      <c r="AB18" s="9"/>
      <c r="AC18" s="9"/>
      <c r="AD18" s="9"/>
      <c r="AE18" s="9"/>
      <c r="AF18" s="9"/>
      <c r="AG18" s="11" t="str">
        <f ca="1">IFERROR(__xludf.DUMMYFUNCTION("UNIQUE ('Черкаська'!C17)"),"ТОВ ""ВКП"" Вербівське""")</f>
        <v>ТОВ "ВКП" Вербівське"</v>
      </c>
      <c r="AH18" s="9"/>
      <c r="AI18" s="12" t="str">
        <f ca="1">IFERROR(__xludf.DUMMYFUNCTION("UNIQUE ('Чернігівська'!C17)"),"ТОВ ""Стандарт - ""К""")</f>
        <v>ТОВ "Стандарт - "К"</v>
      </c>
      <c r="AJ18" s="9"/>
    </row>
    <row r="19" spans="1:36" ht="15.7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3" t="str">
        <f ca="1">IFERROR(__xludf.DUMMYFUNCTION("UNIQUE ('Рівненська'!C18)"),"")</f>
        <v/>
      </c>
      <c r="U19" s="13" t="str">
        <f ca="1">IFERROR(__xludf.DUMMYFUNCTION("UNIQUE ('Рівненська'!D18)"),"")</f>
        <v/>
      </c>
      <c r="V19" s="13" t="str">
        <f ca="1">IFERROR(__xludf.DUMMYFUNCTION("UNIQUE ('Рівненська'!E18)"),"")</f>
        <v/>
      </c>
      <c r="W19" s="13" t="str">
        <f ca="1">IFERROR(__xludf.DUMMYFUNCTION("UNIQUE ('Рівненська'!F18)"),"")</f>
        <v/>
      </c>
      <c r="X19" s="12" t="str">
        <f ca="1">IFERROR(__xludf.DUMMYFUNCTION("UNIQUE ('Рівненська'!G18)"),"")</f>
        <v/>
      </c>
      <c r="Y19" s="12" t="str">
        <f ca="1">IFERROR(__xludf.DUMMYFUNCTION("UNIQUE ('Рівненська'!H18)"),"")</f>
        <v/>
      </c>
      <c r="Z19" s="12" t="str">
        <f ca="1">IFERROR(__xludf.DUMMYFUNCTION("UNIQUE ('Рівненська'!I18)"),"")</f>
        <v/>
      </c>
      <c r="AA19" s="9"/>
      <c r="AB19" s="9"/>
      <c r="AC19" s="9"/>
      <c r="AD19" s="9"/>
      <c r="AE19" s="9"/>
      <c r="AF19" s="9"/>
      <c r="AG19" s="11" t="str">
        <f ca="1">IFERROR(__xludf.DUMMYFUNCTION("UNIQUE ('Черкаська'!C18)"),"")</f>
        <v/>
      </c>
      <c r="AH19" s="9"/>
      <c r="AI19" s="12" t="str">
        <f ca="1">IFERROR(__xludf.DUMMYFUNCTION("UNIQUE ('Чернігівська'!C18)"),"")</f>
        <v/>
      </c>
      <c r="AJ19" s="9"/>
    </row>
    <row r="20" spans="1:36" ht="15.7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2" t="str">
        <f ca="1">IFERROR(__xludf.DUMMYFUNCTION("UNIQUE ('Рівненська'!C19)")," ТОВ ""Країна смаку""")</f>
        <v xml:space="preserve"> ТОВ "Країна смаку"</v>
      </c>
      <c r="U20" s="32" t="str">
        <f ca="1">IFERROR(__xludf.DUMMYFUNCTION("UNIQUE ('Рівненська'!D19)"),"вул. Князя Острозького, 32, с. Бугрин, Гощанський р-н, Рівненська обл., 35416")</f>
        <v>вул. Князя Острозького, 32, с. Бугрин, Гощанський р-н, Рівненська обл., 35416</v>
      </c>
      <c r="V20" s="13" t="str">
        <f ca="1">IFERROR(__xludf.DUMMYFUNCTION("UNIQUE ('Рівненська'!E19)"),"17-03-54 Mt, PM")</f>
        <v>17-03-54 Mt, PM</v>
      </c>
      <c r="W20" s="32" t="str">
        <f ca="1">IFERROR(__xludf.DUMMYFUNCTION("UNIQUE ('Рівненська'!F19)"),"35959866")</f>
        <v>35959866</v>
      </c>
      <c r="X20" s="32" t="str">
        <f ca="1">IFERROR(__xludf.DUMMYFUNCTION("UNIQUE ('Рівненська'!G19)"),"*")</f>
        <v>*</v>
      </c>
      <c r="Y20" s="32" t="str">
        <f ca="1">IFERROR(__xludf.DUMMYFUNCTION("UNIQUE ('Рівненська'!H19)"),"*")</f>
        <v>*</v>
      </c>
      <c r="Z20" s="12" t="str">
        <f ca="1">IFERROR(__xludf.DUMMYFUNCTION("UNIQUE ('Рівненська'!I19)"),"")</f>
        <v/>
      </c>
      <c r="AA20" s="9"/>
      <c r="AB20" s="9"/>
      <c r="AC20" s="9"/>
      <c r="AD20" s="9"/>
      <c r="AE20" s="9"/>
      <c r="AF20" s="9"/>
      <c r="AG20" s="35" t="str">
        <f ca="1">IFERROR(__xludf.DUMMYFUNCTION("UNIQUE (#REF!)"),"#REF!")</f>
        <v>#REF!</v>
      </c>
      <c r="AH20" s="9"/>
      <c r="AI20" s="12" t="str">
        <f ca="1">IFERROR(__xludf.DUMMYFUNCTION("UNIQUE ('Чернігівська'!C19)"),"ПрАТ ""ММК ""Сіверський""")</f>
        <v>ПрАТ "ММК "Сіверський"</v>
      </c>
      <c r="AJ20" s="9"/>
    </row>
    <row r="21" spans="1:36" ht="15.75" customHeight="1">
      <c r="A21" s="1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3" t="str">
        <f ca="1">IFERROR(__xludf.DUMMYFUNCTION("UNIQUE ('Рівненська'!C20)")," ТОВ ""Країна смаку""")</f>
        <v xml:space="preserve"> ТОВ "Країна смаку"</v>
      </c>
      <c r="U21" s="13" t="str">
        <f ca="1">IFERROR(__xludf.DUMMYFUNCTION("UNIQUE ('Рівненська'!D20)"),"вул. Князя Острозького, 32, с. Бугрин, Гощанський р-н, Рівненська обл., 35416")</f>
        <v>вул. Князя Острозького, 32, с. Бугрин, Гощанський р-н, Рівненська обл., 35416</v>
      </c>
      <c r="V21" s="13" t="str">
        <f ca="1">IFERROR(__xludf.DUMMYFUNCTION("UNIQUE ('Рівненська'!E20)"),"a-UA-17-03-59-1-SH")</f>
        <v>a-UA-17-03-59-1-SH</v>
      </c>
      <c r="W21" s="13" t="str">
        <f ca="1">IFERROR(__xludf.DUMMYFUNCTION("UNIQUE ('Рівненська'!F20)"),"35959866")</f>
        <v>35959866</v>
      </c>
      <c r="X21" s="12" t="str">
        <f ca="1">IFERROR(__xludf.DUMMYFUNCTION("UNIQUE ('Рівненська'!G20)"),"")</f>
        <v/>
      </c>
      <c r="Y21" s="12" t="str">
        <f ca="1">IFERROR(__xludf.DUMMYFUNCTION("UNIQUE ('Рівненська'!H20)"),"*")</f>
        <v>*</v>
      </c>
      <c r="Z21" s="12" t="str">
        <f ca="1">IFERROR(__xludf.DUMMYFUNCTION("UNIQUE ('Рівненська'!I20)"),"")</f>
        <v/>
      </c>
      <c r="AA21" s="9"/>
      <c r="AB21" s="9"/>
      <c r="AC21" s="9"/>
      <c r="AD21" s="9"/>
      <c r="AE21" s="9"/>
      <c r="AF21" s="9"/>
      <c r="AG21" s="11" t="str">
        <f ca="1">IFERROR(__xludf.DUMMYFUNCTION("UNIQUE ('Черкаська'!C19)"),"КП Городищенський холодильний комбінат Черкаської облспоживспілки")</f>
        <v>КП Городищенський холодильний комбінат Черкаської облспоживспілки</v>
      </c>
      <c r="AH21" s="9"/>
      <c r="AI21" s="12" t="str">
        <f ca="1">IFERROR(__xludf.DUMMYFUNCTION("UNIQUE ('Чернігівська'!C20)"),"")</f>
        <v/>
      </c>
      <c r="AJ21" s="9"/>
    </row>
    <row r="22" spans="1:36" ht="15.75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 t="str">
        <f ca="1">IFERROR(__xludf.DUMMYFUNCTION("UNIQUE ('Рівненська'!C21)")," ФОП Жовтанюк В'ячеслав Богданович ")</f>
        <v xml:space="preserve"> ФОП Жовтанюк В'ячеслав Богданович </v>
      </c>
      <c r="U22" s="13" t="str">
        <f ca="1">IFERROR(__xludf.DUMMYFUNCTION("UNIQUE ('Рівненська'!D21)"),"вул. Рівненська, 1а, с. Рясники, Гощанський р-н, Рівненська обл, 35430")</f>
        <v>вул. Рівненська, 1а, с. Рясники, Гощанський р-н, Рівненська обл, 35430</v>
      </c>
      <c r="V22" s="13" t="str">
        <f ca="1">IFERROR(__xludf.DUMMYFUNCTION("UNIQUE ('Рівненська'!E21)"),"17-03-44 Mt")</f>
        <v>17-03-44 Mt</v>
      </c>
      <c r="W22" s="13" t="str">
        <f ca="1">IFERROR(__xludf.DUMMYFUNCTION("UNIQUE ('Рівненська'!F21)"),"2502317014")</f>
        <v>2502317014</v>
      </c>
      <c r="X22" s="12" t="str">
        <f ca="1">IFERROR(__xludf.DUMMYFUNCTION("UNIQUE ('Рівненська'!G21)"),"")</f>
        <v/>
      </c>
      <c r="Y22" s="12" t="str">
        <f ca="1">IFERROR(__xludf.DUMMYFUNCTION("UNIQUE ('Рівненська'!H21)"),"*")</f>
        <v>*</v>
      </c>
      <c r="Z22" s="12" t="str">
        <f ca="1">IFERROR(__xludf.DUMMYFUNCTION("UNIQUE ('Рівненська'!I21)"),"")</f>
        <v/>
      </c>
      <c r="AA22" s="9"/>
      <c r="AB22" s="9"/>
      <c r="AC22" s="9"/>
      <c r="AD22" s="9"/>
      <c r="AE22" s="9"/>
      <c r="AF22" s="9"/>
      <c r="AG22" s="11" t="str">
        <f ca="1">IFERROR(__xludf.DUMMYFUNCTION("UNIQUE ('Черкаська'!C21)"),"ТОВ ""М'ясорибторг""")</f>
        <v>ТОВ "М'ясорибторг"</v>
      </c>
      <c r="AH22" s="9"/>
      <c r="AI22" s="12" t="str">
        <f ca="1">IFERROR(__xludf.DUMMYFUNCTION("UNIQUE ('Чернігівська'!C21)"),"ТОВ ""Прилуцький Хлібодар""")</f>
        <v>ТОВ "Прилуцький Хлібодар"</v>
      </c>
      <c r="AJ22" s="9"/>
    </row>
    <row r="23" spans="1:36" ht="15.75" customHeight="1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 t="str">
        <f ca="1">IFERROR(__xludf.DUMMYFUNCTION("UNIQUE ('Рівненська'!C22)"),"")</f>
        <v/>
      </c>
      <c r="U23" s="13" t="str">
        <f ca="1">IFERROR(__xludf.DUMMYFUNCTION("UNIQUE ('Рівненська'!D22)"),"")</f>
        <v/>
      </c>
      <c r="V23" s="13" t="str">
        <f ca="1">IFERROR(__xludf.DUMMYFUNCTION("UNIQUE ('Рівненська'!E22)"),"")</f>
        <v/>
      </c>
      <c r="W23" s="13" t="str">
        <f ca="1">IFERROR(__xludf.DUMMYFUNCTION("UNIQUE ('Рівненська'!F22)"),"")</f>
        <v/>
      </c>
      <c r="X23" s="12" t="str">
        <f ca="1">IFERROR(__xludf.DUMMYFUNCTION("UNIQUE ('Рівненська'!G22)"),"")</f>
        <v/>
      </c>
      <c r="Y23" s="12" t="str">
        <f ca="1">IFERROR(__xludf.DUMMYFUNCTION("UNIQUE ('Рівненська'!H22)"),"")</f>
        <v/>
      </c>
      <c r="Z23" s="12" t="str">
        <f ca="1">IFERROR(__xludf.DUMMYFUNCTION("UNIQUE ('Рівненська'!I22)"),"")</f>
        <v/>
      </c>
      <c r="AA23" s="9"/>
      <c r="AB23" s="9"/>
      <c r="AC23" s="9"/>
      <c r="AD23" s="9"/>
      <c r="AE23" s="9"/>
      <c r="AF23" s="9"/>
      <c r="AG23" s="11" t="str">
        <f ca="1">IFERROR(__xludf.DUMMYFUNCTION("UNIQUE ('Черкаська'!C22)"),"")</f>
        <v/>
      </c>
      <c r="AH23" s="9"/>
      <c r="AI23" s="12" t="str">
        <f ca="1">IFERROR(__xludf.DUMMYFUNCTION("UNIQUE ('Чернігівська'!C22)"),"")</f>
        <v/>
      </c>
      <c r="AJ23" s="9"/>
    </row>
    <row r="24" spans="1:36" ht="15.75" customHeight="1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3" t="str">
        <f ca="1">IFERROR(__xludf.DUMMYFUNCTION("UNIQUE ('Рівненська'!C23)"),"ФОП Вілков Ігор Сергійович")</f>
        <v>ФОП Вілков Ігор Сергійович</v>
      </c>
      <c r="U24" s="13" t="str">
        <f ca="1">IFERROR(__xludf.DUMMYFUNCTION("UNIQUE ('Рівненська'!D23)"),"вул. Миру, 57, с. Малинівка, Гощанський р-н, Рівненська обл, 35422")</f>
        <v>вул. Миру, 57, с. Малинівка, Гощанський р-н, Рівненська обл, 35422</v>
      </c>
      <c r="V24" s="13" t="str">
        <f ca="1">IFERROR(__xludf.DUMMYFUNCTION("UNIQUE ('Рівненська'!E23)"),"17-03-45 Mt")</f>
        <v>17-03-45 Mt</v>
      </c>
      <c r="W24" s="13" t="str">
        <f ca="1">IFERROR(__xludf.DUMMYFUNCTION("UNIQUE ('Рівненська'!F23)"),"2502317014")</f>
        <v>2502317014</v>
      </c>
      <c r="X24" s="12" t="str">
        <f ca="1">IFERROR(__xludf.DUMMYFUNCTION("UNIQUE ('Рівненська'!G23)"),"")</f>
        <v/>
      </c>
      <c r="Y24" s="12" t="str">
        <f ca="1">IFERROR(__xludf.DUMMYFUNCTION("UNIQUE ('Рівненська'!H23)"),"*")</f>
        <v>*</v>
      </c>
      <c r="Z24" s="12" t="str">
        <f ca="1">IFERROR(__xludf.DUMMYFUNCTION("UNIQUE ('Рівненська'!I23)"),"")</f>
        <v/>
      </c>
      <c r="AA24" s="9"/>
      <c r="AB24" s="9"/>
      <c r="AC24" s="9"/>
      <c r="AD24" s="9"/>
      <c r="AE24" s="9"/>
      <c r="AF24" s="9"/>
      <c r="AG24" s="11" t="str">
        <f ca="1">IFERROR(__xludf.DUMMYFUNCTION("UNIQUE ('Черкаська'!C23)"),"ТОВ ""Чорнобайпродсервіс""")</f>
        <v>ТОВ "Чорнобайпродсервіс"</v>
      </c>
      <c r="AH24" s="9"/>
      <c r="AI24" s="12" t="str">
        <f ca="1">IFERROR(__xludf.DUMMYFUNCTION("UNIQUE ('Чернігівська'!C23)"),"ТОВ ""ВКП ""Прилуки-Агропереробка""")</f>
        <v>ТОВ "ВКП "Прилуки-Агропереробка"</v>
      </c>
      <c r="AJ24" s="9"/>
    </row>
    <row r="25" spans="1:36" ht="15.75" customHeight="1">
      <c r="A25" s="8" t="str">
        <f ca="1">IFERROR(__xludf.DUMMYFUNCTION("UNIQUE ('Вінницька'!C22)"),"")</f>
        <v/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3" t="str">
        <f ca="1">IFERROR(__xludf.DUMMYFUNCTION("UNIQUE ('Рівненська'!C24)"),"ФОП Покровський Віктор Євгенович")</f>
        <v>ФОП Покровський Віктор Євгенович</v>
      </c>
      <c r="U25" s="13" t="str">
        <f ca="1">IFERROR(__xludf.DUMMYFUNCTION("UNIQUE ('Рівненська'!D24)"),"вул. Завгородня, 94в, с. Воскодави, Гощанський р-н, Рівненська обл, 35423")</f>
        <v>вул. Завгородня, 94в, с. Воскодави, Гощанський р-н, Рівненська обл, 35423</v>
      </c>
      <c r="V25" s="13" t="str">
        <f ca="1">IFERROR(__xludf.DUMMYFUNCTION("UNIQUE ('Рівненська'!E24)"),"a-UA-17-03-233-VI-PP")</f>
        <v>a-UA-17-03-233-VI-PP</v>
      </c>
      <c r="W25" s="13" t="str">
        <f ca="1">IFERROR(__xludf.DUMMYFUNCTION("UNIQUE ('Рівненська'!F24)"),"2174315393")</f>
        <v>2174315393</v>
      </c>
      <c r="X25" s="12" t="str">
        <f ca="1">IFERROR(__xludf.DUMMYFUNCTION("UNIQUE ('Рівненська'!G24)"),"")</f>
        <v/>
      </c>
      <c r="Y25" s="12" t="str">
        <f ca="1">IFERROR(__xludf.DUMMYFUNCTION("UNIQUE ('Рівненська'!H24)"),"*")</f>
        <v>*</v>
      </c>
      <c r="Z25" s="12" t="str">
        <f ca="1">IFERROR(__xludf.DUMMYFUNCTION("UNIQUE ('Рівненська'!I24)"),"")</f>
        <v/>
      </c>
      <c r="AA25" s="9"/>
      <c r="AB25" s="9"/>
      <c r="AC25" s="9"/>
      <c r="AD25" s="9"/>
      <c r="AE25" s="9"/>
      <c r="AF25" s="9"/>
      <c r="AG25" s="11" t="str">
        <f ca="1">IFERROR(__xludf.DUMMYFUNCTION("UNIQUE ('Черкаська'!C24)"),"")</f>
        <v/>
      </c>
      <c r="AH25" s="9"/>
      <c r="AI25" s="12" t="str">
        <f ca="1">IFERROR(__xludf.DUMMYFUNCTION("UNIQUE ('Чернігівська'!C24)"),"")</f>
        <v/>
      </c>
      <c r="AJ25" s="9"/>
    </row>
    <row r="26" spans="1:3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3" t="str">
        <f ca="1">IFERROR(__xludf.DUMMYFUNCTION("UNIQUE ('Рівненська'!C25)"),"ФОП Кузьмич Ольга Степанівна")</f>
        <v>ФОП Кузьмич Ольга Степанівна</v>
      </c>
      <c r="U26" s="13" t="str">
        <f ca="1">IFERROR(__xludf.DUMMYFUNCTION("UNIQUE ('Рівненська'!D25)"),"вул. Завгородня, 44в, с. Воскодави, Гощанський р-н, Рівненська обл, 35423")</f>
        <v>вул. Завгородня, 44в, с. Воскодави, Гощанський р-н, Рівненська обл, 35423</v>
      </c>
      <c r="V26" s="13" t="str">
        <f ca="1">IFERROR(__xludf.DUMMYFUNCTION("UNIQUE ('Рівненська'!E25)"),"a-UA-17-03-234-VI-PP")</f>
        <v>a-UA-17-03-234-VI-PP</v>
      </c>
      <c r="W26" s="13" t="str">
        <f ca="1">IFERROR(__xludf.DUMMYFUNCTION("UNIQUE ('Рівненська'!F25)"),"2105304047")</f>
        <v>2105304047</v>
      </c>
      <c r="X26" s="12" t="str">
        <f ca="1">IFERROR(__xludf.DUMMYFUNCTION("UNIQUE ('Рівненська'!G25)"),"")</f>
        <v/>
      </c>
      <c r="Y26" s="12" t="str">
        <f ca="1">IFERROR(__xludf.DUMMYFUNCTION("UNIQUE ('Рівненська'!H25)"),"*")</f>
        <v>*</v>
      </c>
      <c r="Z26" s="12" t="str">
        <f ca="1">IFERROR(__xludf.DUMMYFUNCTION("UNIQUE ('Рівненська'!I25)"),"")</f>
        <v/>
      </c>
      <c r="AA26" s="9"/>
      <c r="AB26" s="9"/>
      <c r="AC26" s="9"/>
      <c r="AD26" s="9"/>
      <c r="AE26" s="9"/>
      <c r="AF26" s="9"/>
      <c r="AG26" s="11" t="str">
        <f ca="1">IFERROR(__xludf.DUMMYFUNCTION("UNIQUE ('Черкаська'!C25)"),"ТОВ ""М'ясопромторг""")</f>
        <v>ТОВ "М'ясопромторг"</v>
      </c>
      <c r="AH26" s="9"/>
      <c r="AI26" s="12" t="str">
        <f ca="1">IFERROR(__xludf.DUMMYFUNCTION("UNIQUE ('Чернігівська'!C25)"),"ПрАТ ""Прилуцький м’ясокомбінат""")</f>
        <v>ПрАТ "Прилуцький м’ясокомбінат"</v>
      </c>
      <c r="AJ26" s="9"/>
    </row>
    <row r="27" spans="1:36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3" t="str">
        <f ca="1">IFERROR(__xludf.DUMMYFUNCTION("UNIQUE ('Рівненська'!C26)"),"")</f>
        <v/>
      </c>
      <c r="U27" s="13" t="str">
        <f ca="1">IFERROR(__xludf.DUMMYFUNCTION("UNIQUE ('Рівненська'!D26)"),"")</f>
        <v/>
      </c>
      <c r="V27" s="13" t="str">
        <f ca="1">IFERROR(__xludf.DUMMYFUNCTION("UNIQUE ('Рівненська'!E26)"),"")</f>
        <v/>
      </c>
      <c r="W27" s="13" t="str">
        <f ca="1">IFERROR(__xludf.DUMMYFUNCTION("UNIQUE ('Рівненська'!F26)"),"")</f>
        <v/>
      </c>
      <c r="X27" s="12" t="str">
        <f ca="1">IFERROR(__xludf.DUMMYFUNCTION("UNIQUE ('Рівненська'!G26)"),"")</f>
        <v/>
      </c>
      <c r="Y27" s="12" t="str">
        <f ca="1">IFERROR(__xludf.DUMMYFUNCTION("UNIQUE ('Рівненська'!H26)"),"")</f>
        <v/>
      </c>
      <c r="Z27" s="12" t="str">
        <f ca="1">IFERROR(__xludf.DUMMYFUNCTION("UNIQUE ('Рівненська'!I26)"),"")</f>
        <v/>
      </c>
      <c r="AA27" s="9"/>
      <c r="AB27" s="9"/>
      <c r="AC27" s="9"/>
      <c r="AD27" s="9"/>
      <c r="AE27" s="9"/>
      <c r="AF27" s="9"/>
      <c r="AG27" s="11" t="str">
        <f ca="1">IFERROR(__xludf.DUMMYFUNCTION("UNIQUE ('Черкаська'!C26)"),"")</f>
        <v/>
      </c>
      <c r="AH27" s="9"/>
      <c r="AI27" s="12" t="str">
        <f ca="1">IFERROR(__xludf.DUMMYFUNCTION("UNIQUE ('Чернігівська'!C26)"),"")</f>
        <v/>
      </c>
      <c r="AJ27" s="9"/>
    </row>
    <row r="28" spans="1:36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" t="str">
        <f ca="1">IFERROR(__xludf.DUMMYFUNCTION("UNIQUE ('Рівненська'!C27)"),"ФОП Іллюк Іван Володимирович")</f>
        <v>ФОП Іллюк Іван Володимирович</v>
      </c>
      <c r="U28" s="13" t="str">
        <f ca="1">IFERROR(__xludf.DUMMYFUNCTION("UNIQUE ('Рівненська'!D27)")," вул. Незалежності, 100, смт Гоща, Рівненська обл., 35400")</f>
        <v xml:space="preserve"> вул. Незалежності, 100, смт Гоща, Рівненська обл., 35400</v>
      </c>
      <c r="V28" s="13" t="str">
        <f ca="1">IFERROR(__xludf.DUMMYFUNCTION("UNIQUE ('Рівненська'!E27)"),"17-03-49 Mt")</f>
        <v>17-03-49 Mt</v>
      </c>
      <c r="W28" s="13" t="str">
        <f ca="1">IFERROR(__xludf.DUMMYFUNCTION("UNIQUE ('Рівненська'!F27)"),"3013325198")</f>
        <v>3013325198</v>
      </c>
      <c r="X28" s="12" t="str">
        <f ca="1">IFERROR(__xludf.DUMMYFUNCTION("UNIQUE ('Рівненська'!G27)"),"")</f>
        <v/>
      </c>
      <c r="Y28" s="12" t="str">
        <f ca="1">IFERROR(__xludf.DUMMYFUNCTION("UNIQUE ('Рівненська'!H27)"),"*")</f>
        <v>*</v>
      </c>
      <c r="Z28" s="12" t="str">
        <f ca="1">IFERROR(__xludf.DUMMYFUNCTION("UNIQUE ('Рівненська'!I27)"),"")</f>
        <v/>
      </c>
      <c r="AA28" s="9"/>
      <c r="AB28" s="9"/>
      <c r="AC28" s="9"/>
      <c r="AD28" s="9"/>
      <c r="AE28" s="9"/>
      <c r="AF28" s="9"/>
      <c r="AG28" s="11" t="str">
        <f ca="1">IFERROR(__xludf.DUMMYFUNCTION("UNIQUE ('Черкаська'!C27)"),"ТОВ ""ЗЛАТОМІТ""")</f>
        <v>ТОВ "ЗЛАТОМІТ"</v>
      </c>
      <c r="AH28" s="9"/>
      <c r="AI28" s="12" t="str">
        <f ca="1">IFERROR(__xludf.DUMMYFUNCTION("UNIQUE ('Чернігівська'!C27)"),"ДП ""Рітейл Центр""")</f>
        <v>ДП "Рітейл Центр"</v>
      </c>
      <c r="AJ28" s="9"/>
    </row>
    <row r="29" spans="1:36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3" t="str">
        <f ca="1">IFERROR(__xludf.DUMMYFUNCTION("UNIQUE ('Рівненська'!C28)"),"")</f>
        <v/>
      </c>
      <c r="U29" s="13" t="str">
        <f ca="1">IFERROR(__xludf.DUMMYFUNCTION("UNIQUE ('Рівненська'!D28)"),"")</f>
        <v/>
      </c>
      <c r="V29" s="13" t="str">
        <f ca="1">IFERROR(__xludf.DUMMYFUNCTION("UNIQUE ('Рівненська'!E28)"),"")</f>
        <v/>
      </c>
      <c r="W29" s="13" t="str">
        <f ca="1">IFERROR(__xludf.DUMMYFUNCTION("UNIQUE ('Рівненська'!F28)"),"")</f>
        <v/>
      </c>
      <c r="X29" s="12" t="str">
        <f ca="1">IFERROR(__xludf.DUMMYFUNCTION("UNIQUE ('Рівненська'!G28)"),"")</f>
        <v/>
      </c>
      <c r="Y29" s="12" t="str">
        <f ca="1">IFERROR(__xludf.DUMMYFUNCTION("UNIQUE ('Рівненська'!H28)"),"")</f>
        <v/>
      </c>
      <c r="Z29" s="12" t="str">
        <f ca="1">IFERROR(__xludf.DUMMYFUNCTION("UNIQUE ('Рівненська'!I28)"),"")</f>
        <v/>
      </c>
      <c r="AA29" s="9"/>
      <c r="AB29" s="9"/>
      <c r="AC29" s="9"/>
      <c r="AD29" s="9"/>
      <c r="AE29" s="9"/>
      <c r="AF29" s="9"/>
      <c r="AG29" s="11" t="str">
        <f ca="1">IFERROR(__xludf.DUMMYFUNCTION("UNIQUE ('Черкаська'!C28)"),"")</f>
        <v/>
      </c>
      <c r="AH29" s="9"/>
      <c r="AI29" s="12" t="str">
        <f ca="1">IFERROR(__xludf.DUMMYFUNCTION("UNIQUE ('Чернігівська'!C28)"),"")</f>
        <v/>
      </c>
      <c r="AJ29" s="9"/>
    </row>
    <row r="30" spans="1:36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3" t="str">
        <f ca="1">IFERROR(__xludf.DUMMYFUNCTION("UNIQUE ('Рівненська'!C29)"),"ТОВ СГП ""Імені Воловікова"" ")</f>
        <v xml:space="preserve">ТОВ СГП "Імені Воловікова" </v>
      </c>
      <c r="U30" s="13" t="str">
        <f ca="1">IFERROR(__xludf.DUMMYFUNCTION("UNIQUE ('Рівненська'!D29)"),"вул. Центральна, 1а, с. Іллін, Гощанський р-н, Рівненська обл., 35433")</f>
        <v>вул. Центральна, 1а, с. Іллін, Гощанський р-н, Рівненська обл., 35433</v>
      </c>
      <c r="V30" s="13" t="str">
        <f ca="1">IFERROR(__xludf.DUMMYFUNCTION("UNIQUE ('Рівненська'!E29)"),"")</f>
        <v/>
      </c>
      <c r="W30" s="13" t="str">
        <f ca="1">IFERROR(__xludf.DUMMYFUNCTION("UNIQUE ('Рівненська'!F29)"),"03775871")</f>
        <v>03775871</v>
      </c>
      <c r="X30" s="12" t="str">
        <f ca="1">IFERROR(__xludf.DUMMYFUNCTION("UNIQUE ('Рівненська'!G29)"),"")</f>
        <v/>
      </c>
      <c r="Y30" s="12" t="str">
        <f ca="1">IFERROR(__xludf.DUMMYFUNCTION("UNIQUE ('Рівненська'!H29)"),"")</f>
        <v/>
      </c>
      <c r="Z30" s="12" t="str">
        <f ca="1">IFERROR(__xludf.DUMMYFUNCTION("UNIQUE ('Рівненська'!I29)"),"")</f>
        <v/>
      </c>
      <c r="AA30" s="9"/>
      <c r="AB30" s="9"/>
      <c r="AC30" s="9"/>
      <c r="AD30" s="9"/>
      <c r="AE30" s="9"/>
      <c r="AF30" s="9"/>
      <c r="AG30" s="11" t="str">
        <f ca="1">IFERROR(__xludf.DUMMYFUNCTION("UNIQUE ('Черкаська'!C29)"),"ТОВ ""Еко""")</f>
        <v>ТОВ "Еко"</v>
      </c>
      <c r="AH30" s="9"/>
      <c r="AI30" s="12" t="str">
        <f ca="1">IFERROR(__xludf.DUMMYFUNCTION("UNIQUE ('Чернігівська'!C29)"),"ФОП Дегтяр О.М.")</f>
        <v>ФОП Дегтяр О.М.</v>
      </c>
      <c r="AJ30" s="9"/>
    </row>
    <row r="31" spans="1:3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3" t="str">
        <f ca="1">IFERROR(__xludf.DUMMYFUNCTION("UNIQUE ('Рівненська'!C30)"),"")</f>
        <v/>
      </c>
      <c r="U31" s="13" t="str">
        <f ca="1">IFERROR(__xludf.DUMMYFUNCTION("UNIQUE ('Рівненська'!D30)"),"")</f>
        <v/>
      </c>
      <c r="V31" s="13" t="str">
        <f ca="1">IFERROR(__xludf.DUMMYFUNCTION("UNIQUE ('Рівненська'!E30)"),"")</f>
        <v/>
      </c>
      <c r="W31" s="13" t="str">
        <f ca="1">IFERROR(__xludf.DUMMYFUNCTION("UNIQUE ('Рівненська'!F30)"),"")</f>
        <v/>
      </c>
      <c r="X31" s="12" t="str">
        <f ca="1">IFERROR(__xludf.DUMMYFUNCTION("UNIQUE ('Рівненська'!G30)"),"")</f>
        <v/>
      </c>
      <c r="Y31" s="12" t="str">
        <f ca="1">IFERROR(__xludf.DUMMYFUNCTION("UNIQUE ('Рівненська'!H30)"),"")</f>
        <v/>
      </c>
      <c r="Z31" s="12" t="str">
        <f ca="1">IFERROR(__xludf.DUMMYFUNCTION("UNIQUE ('Рівненська'!I30)"),"")</f>
        <v/>
      </c>
      <c r="AA31" s="9"/>
      <c r="AB31" s="9"/>
      <c r="AC31" s="9"/>
      <c r="AD31" s="9"/>
      <c r="AE31" s="9"/>
      <c r="AF31" s="9"/>
      <c r="AG31" s="11" t="str">
        <f ca="1">IFERROR(__xludf.DUMMYFUNCTION("UNIQUE ('Черкаська'!C30)"),"")</f>
        <v/>
      </c>
      <c r="AH31" s="9"/>
      <c r="AI31" s="12" t="str">
        <f ca="1">IFERROR(__xludf.DUMMYFUNCTION("UNIQUE ('Чернігівська'!C30)"),"")</f>
        <v/>
      </c>
      <c r="AJ31" s="9"/>
    </row>
    <row r="32" spans="1:36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3" t="str">
        <f ca="1">IFERROR(__xludf.DUMMYFUNCTION("UNIQUE ('Рівненська'!C31)"),"ФОП Пишняк Ярослав Федорович")</f>
        <v>ФОП Пишняк Ярослав Федорович</v>
      </c>
      <c r="U32" s="13" t="str">
        <f ca="1">IFERROR(__xludf.DUMMYFUNCTION("UNIQUE ('Рівненська'!D31)"),"вул. Новоселів, 2а, с. Чудниця, Гощанський р-н, Рівненська обл., 35425")</f>
        <v>вул. Новоселів, 2а, с. Чудниця, Гощанський р-н, Рівненська обл., 35425</v>
      </c>
      <c r="V32" s="13" t="str">
        <f ca="1">IFERROR(__xludf.DUMMYFUNCTION("UNIQUE ('Рівненська'!E31)"),"a-UA-17-03-223-VI-PP")</f>
        <v>a-UA-17-03-223-VI-PP</v>
      </c>
      <c r="W32" s="13" t="str">
        <f ca="1">IFERROR(__xludf.DUMMYFUNCTION("UNIQUE ('Рівненська'!F31)"),"3218923238")</f>
        <v>3218923238</v>
      </c>
      <c r="X32" s="12" t="str">
        <f ca="1">IFERROR(__xludf.DUMMYFUNCTION("UNIQUE ('Рівненська'!G31)"),"")</f>
        <v/>
      </c>
      <c r="Y32" s="12" t="str">
        <f ca="1">IFERROR(__xludf.DUMMYFUNCTION("UNIQUE ('Рівненська'!H31)"),"*")</f>
        <v>*</v>
      </c>
      <c r="Z32" s="12" t="str">
        <f ca="1">IFERROR(__xludf.DUMMYFUNCTION("UNIQUE ('Рівненська'!I31)"),"")</f>
        <v/>
      </c>
      <c r="AA32" s="9"/>
      <c r="AB32" s="9"/>
      <c r="AC32" s="9"/>
      <c r="AD32" s="9"/>
      <c r="AE32" s="9"/>
      <c r="AF32" s="9"/>
      <c r="AG32" s="11" t="str">
        <f ca="1">IFERROR(__xludf.DUMMYFUNCTION("UNIQUE ('Черкаська'!C31)"),"СТОВ ""Агрофірма ""Маяк""")</f>
        <v>СТОВ "Агрофірма "Маяк"</v>
      </c>
      <c r="AH32" s="9"/>
      <c r="AI32" s="12" t="str">
        <f ca="1">IFERROR(__xludf.DUMMYFUNCTION("UNIQUE ('Чернігівська'!C31)"),"ПрАТ ""Прилуцький птахокомбінат""")</f>
        <v>ПрАТ "Прилуцький птахокомбінат"</v>
      </c>
      <c r="AJ32" s="9"/>
    </row>
    <row r="33" spans="1:36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3" t="str">
        <f ca="1">IFERROR(__xludf.DUMMYFUNCTION("UNIQUE ('Рівненська'!C32)"),"ФОП Сливка Тамара Савеліївна")</f>
        <v>ФОП Сливка Тамара Савеліївна</v>
      </c>
      <c r="U33" s="13" t="str">
        <f ca="1">IFERROR(__xludf.DUMMYFUNCTION("UNIQUE ('Рівненська'!D32)"),"вул. Новоселів, 2а, с. Чудниця, Гощанський р-н, Рівненська обл., 35425")</f>
        <v>вул. Новоселів, 2а, с. Чудниця, Гощанський р-н, Рівненська обл., 35425</v>
      </c>
      <c r="V33" s="13" t="str">
        <f ca="1">IFERROR(__xludf.DUMMYFUNCTION("UNIQUE ('Рівненська'!E32)"),"17-03-55 Mt")</f>
        <v>17-03-55 Mt</v>
      </c>
      <c r="W33" s="13" t="str">
        <f ca="1">IFERROR(__xludf.DUMMYFUNCTION("UNIQUE ('Рівненська'!F32)"),"2256515207")</f>
        <v>2256515207</v>
      </c>
      <c r="X33" s="12" t="str">
        <f ca="1">IFERROR(__xludf.DUMMYFUNCTION("UNIQUE ('Рівненська'!G32)"),"")</f>
        <v/>
      </c>
      <c r="Y33" s="12" t="str">
        <f ca="1">IFERROR(__xludf.DUMMYFUNCTION("UNIQUE ('Рівненська'!H32)"),"*")</f>
        <v>*</v>
      </c>
      <c r="Z33" s="12" t="str">
        <f ca="1">IFERROR(__xludf.DUMMYFUNCTION("UNIQUE ('Рівненська'!I32)"),"")</f>
        <v/>
      </c>
      <c r="AA33" s="9"/>
      <c r="AB33" s="9"/>
      <c r="AC33" s="9"/>
      <c r="AD33" s="9"/>
      <c r="AE33" s="9"/>
      <c r="AF33" s="9"/>
      <c r="AG33" s="11" t="str">
        <f ca="1">IFERROR(__xludf.DUMMYFUNCTION("UNIQUE ('Черкаська'!C32)"),"")</f>
        <v/>
      </c>
      <c r="AH33" s="9"/>
      <c r="AI33" s="12" t="str">
        <f ca="1">IFERROR(__xludf.DUMMYFUNCTION("UNIQUE ('Чернігівська'!C32)"),"")</f>
        <v/>
      </c>
      <c r="AJ33" s="9"/>
    </row>
    <row r="34" spans="1:36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3" t="str">
        <f ca="1">IFERROR(__xludf.DUMMYFUNCTION("UNIQUE ('Рівненська'!C33)")," ТОВ ""Медовий край"" ")</f>
        <v xml:space="preserve"> ТОВ "Медовий край" </v>
      </c>
      <c r="U34" s="13" t="str">
        <f ca="1">IFERROR(__xludf.DUMMYFUNCTION("UNIQUE ('Рівненська'!D33)"),"вул. Заставя, 58, смт Гоща, Рівненська обл., 35400")</f>
        <v>вул. Заставя, 58, смт Гоща, Рівненська обл., 35400</v>
      </c>
      <c r="V34" s="13" t="str">
        <f ca="1">IFERROR(__xludf.DUMMYFUNCTION("UNIQUE ('Рівненська'!E33)"),"17-03-59 HP")</f>
        <v>17-03-59 HP</v>
      </c>
      <c r="W34" s="13" t="str">
        <f ca="1">IFERROR(__xludf.DUMMYFUNCTION("UNIQUE ('Рівненська'!F33)"),"38637085")</f>
        <v>38637085</v>
      </c>
      <c r="X34" s="12" t="str">
        <f ca="1">IFERROR(__xludf.DUMMYFUNCTION("UNIQUE ('Рівненська'!G33)"),"")</f>
        <v/>
      </c>
      <c r="Y34" s="12" t="str">
        <f ca="1">IFERROR(__xludf.DUMMYFUNCTION("UNIQUE ('Рівненська'!H33)"),"")</f>
        <v/>
      </c>
      <c r="Z34" s="12" t="str">
        <f ca="1">IFERROR(__xludf.DUMMYFUNCTION("UNIQUE ('Рівненська'!I33)"),"")</f>
        <v/>
      </c>
      <c r="AA34" s="9"/>
      <c r="AB34" s="9"/>
      <c r="AC34" s="9"/>
      <c r="AD34" s="9"/>
      <c r="AE34" s="9"/>
      <c r="AF34" s="9"/>
      <c r="AG34" s="11" t="str">
        <f ca="1">IFERROR(__xludf.DUMMYFUNCTION("UNIQUE ('Черкаська'!C33)"),"СТОВ ППЗ ""Коробівський""")</f>
        <v>СТОВ ППЗ "Коробівський"</v>
      </c>
      <c r="AH34" s="9"/>
      <c r="AI34" s="12" t="str">
        <f ca="1">IFERROR(__xludf.DUMMYFUNCTION("UNIQUE ('Чернігівська'!C33)"),"ТОВ ""Торговий дім ""ЧЕРНІГІВСЬКИЙ""")</f>
        <v>ТОВ "Торговий дім "ЧЕРНІГІВСЬКИЙ"</v>
      </c>
      <c r="AJ34" s="9"/>
    </row>
    <row r="35" spans="1:3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3" t="str">
        <f ca="1">IFERROR(__xludf.DUMMYFUNCTION("UNIQUE ('Рівненська'!C34)"),"ФОП Косовська Людмила Василівна")</f>
        <v>ФОП Косовська Людмила Василівна</v>
      </c>
      <c r="U35" s="13" t="str">
        <f ca="1">IFERROR(__xludf.DUMMYFUNCTION("UNIQUE ('Рівненська'!D34)"),"вул. Заставя, 58, смт Гоща, Рівненська обл., 35400")</f>
        <v>вул. Заставя, 58, смт Гоща, Рівненська обл., 35400</v>
      </c>
      <c r="V35" s="13" t="str">
        <f ca="1">IFERROR(__xludf.DUMMYFUNCTION("UNIQUE ('Рівненська'!E34)"),"17-03-46 HP")</f>
        <v>17-03-46 HP</v>
      </c>
      <c r="W35" s="13" t="str">
        <f ca="1">IFERROR(__xludf.DUMMYFUNCTION("UNIQUE ('Рівненська'!F34)"),"2862102585")</f>
        <v>2862102585</v>
      </c>
      <c r="X35" s="12" t="str">
        <f ca="1">IFERROR(__xludf.DUMMYFUNCTION("UNIQUE ('Рівненська'!G34)"),"")</f>
        <v/>
      </c>
      <c r="Y35" s="12" t="str">
        <f ca="1">IFERROR(__xludf.DUMMYFUNCTION("UNIQUE ('Рівненська'!H34)"),"")</f>
        <v/>
      </c>
      <c r="Z35" s="12" t="str">
        <f ca="1">IFERROR(__xludf.DUMMYFUNCTION("UNIQUE ('Рівненська'!I34)"),"")</f>
        <v/>
      </c>
      <c r="AA35" s="9"/>
      <c r="AB35" s="9"/>
      <c r="AC35" s="9"/>
      <c r="AD35" s="9"/>
      <c r="AE35" s="9"/>
      <c r="AF35" s="9"/>
      <c r="AG35" s="11" t="str">
        <f ca="1">IFERROR(__xludf.DUMMYFUNCTION("UNIQUE ('Черкаська'!C34)"),"")</f>
        <v/>
      </c>
      <c r="AH35" s="9"/>
      <c r="AI35" s="12" t="str">
        <f ca="1">IFERROR(__xludf.DUMMYFUNCTION("UNIQUE ('Чернігівська'!C34)"),"")</f>
        <v/>
      </c>
      <c r="AJ35" s="9"/>
    </row>
    <row r="36" spans="1: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3" t="str">
        <f ca="1">IFERROR(__xludf.DUMMYFUNCTION("UNIQUE ('Рівненська'!C35)"),"")</f>
        <v/>
      </c>
      <c r="U36" s="13" t="str">
        <f ca="1">IFERROR(__xludf.DUMMYFUNCTION("UNIQUE ('Рівненська'!D35)"),"")</f>
        <v/>
      </c>
      <c r="V36" s="13" t="str">
        <f ca="1">IFERROR(__xludf.DUMMYFUNCTION("UNIQUE ('Рівненська'!E35)"),"")</f>
        <v/>
      </c>
      <c r="W36" s="13" t="str">
        <f ca="1">IFERROR(__xludf.DUMMYFUNCTION("UNIQUE ('Рівненська'!F35)"),"")</f>
        <v/>
      </c>
      <c r="X36" s="12" t="str">
        <f ca="1">IFERROR(__xludf.DUMMYFUNCTION("UNIQUE ('Рівненська'!G35)"),"")</f>
        <v/>
      </c>
      <c r="Y36" s="12" t="str">
        <f ca="1">IFERROR(__xludf.DUMMYFUNCTION("UNIQUE ('Рівненська'!H35)"),"")</f>
        <v/>
      </c>
      <c r="Z36" s="12" t="str">
        <f ca="1">IFERROR(__xludf.DUMMYFUNCTION("UNIQUE ('Рівненська'!I35)"),"")</f>
        <v/>
      </c>
      <c r="AA36" s="9"/>
      <c r="AB36" s="9"/>
      <c r="AC36" s="9"/>
      <c r="AD36" s="9"/>
      <c r="AE36" s="9"/>
      <c r="AF36" s="9"/>
      <c r="AG36" s="11" t="str">
        <f ca="1">IFERROR(__xludf.DUMMYFUNCTION("UNIQUE ('Черкаська'!C35)"),"ФГ ""Алексеєвої Т.І.""")</f>
        <v>ФГ "Алексеєвої Т.І."</v>
      </c>
      <c r="AH36" s="9"/>
      <c r="AI36" s="12" t="str">
        <f ca="1">IFERROR(__xludf.DUMMYFUNCTION("UNIQUE ('Чернігівська'!C35)"),"ТОВ ""Фабрика Здорово""")</f>
        <v>ТОВ "Фабрика Здорово"</v>
      </c>
      <c r="AJ36" s="9"/>
    </row>
    <row r="37" spans="1:3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3" t="str">
        <f ca="1">IFERROR(__xludf.DUMMYFUNCTION("UNIQUE ('Рівненська'!C36)"),"ФОП Левчук Ігор Володимирович")</f>
        <v>ФОП Левчук Ігор Володимирович</v>
      </c>
      <c r="U37" s="13" t="str">
        <f ca="1">IFERROR(__xludf.DUMMYFUNCTION("UNIQUE ('Рівненська'!D36)"),"вул. Подолинська, 1 а, с. Малеве, Демидівський р-н, Рівненська обл., 35212")</f>
        <v>вул. Подолинська, 1 а, с. Малеве, Демидівський р-н, Рівненська обл., 35212</v>
      </c>
      <c r="V37" s="13" t="str">
        <f ca="1">IFERROR(__xludf.DUMMYFUNCTION("UNIQUE ('Рівненська'!E36)"),"17-04-07 Mt")</f>
        <v>17-04-07 Mt</v>
      </c>
      <c r="W37" s="13" t="str">
        <f ca="1">IFERROR(__xludf.DUMMYFUNCTION("UNIQUE ('Рівненська'!F36)"),"3877517490")</f>
        <v>3877517490</v>
      </c>
      <c r="X37" s="12" t="str">
        <f ca="1">IFERROR(__xludf.DUMMYFUNCTION("UNIQUE ('Рівненська'!G36)"),"")</f>
        <v/>
      </c>
      <c r="Y37" s="12" t="str">
        <f ca="1">IFERROR(__xludf.DUMMYFUNCTION("UNIQUE ('Рівненська'!H36)"),"*")</f>
        <v>*</v>
      </c>
      <c r="Z37" s="12" t="str">
        <f ca="1">IFERROR(__xludf.DUMMYFUNCTION("UNIQUE ('Рівненська'!I36)"),"")</f>
        <v/>
      </c>
      <c r="AA37" s="9"/>
      <c r="AB37" s="9"/>
      <c r="AC37" s="9"/>
      <c r="AD37" s="9"/>
      <c r="AE37" s="9"/>
      <c r="AF37" s="9"/>
      <c r="AG37" s="11" t="str">
        <f ca="1">IFERROR(__xludf.DUMMYFUNCTION("UNIQUE ('Черкаська'!C36)"),"")</f>
        <v/>
      </c>
      <c r="AH37" s="9"/>
      <c r="AI37" s="12" t="str">
        <f ca="1">IFERROR(__xludf.DUMMYFUNCTION("UNIQUE ('Чернігівська'!C36)"),"ТОВ ""МПК ""Альянс""")</f>
        <v>ТОВ "МПК "Альянс"</v>
      </c>
      <c r="AJ37" s="9"/>
    </row>
    <row r="38" spans="1:36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3" t="str">
        <f ca="1">IFERROR(__xludf.DUMMYFUNCTION("UNIQUE ('Рівненська'!C37)"),"")</f>
        <v/>
      </c>
      <c r="U38" s="13" t="str">
        <f ca="1">IFERROR(__xludf.DUMMYFUNCTION("UNIQUE ('Рівненська'!D37)"),"")</f>
        <v/>
      </c>
      <c r="V38" s="13" t="str">
        <f ca="1">IFERROR(__xludf.DUMMYFUNCTION("UNIQUE ('Рівненська'!E37)"),"")</f>
        <v/>
      </c>
      <c r="W38" s="13" t="str">
        <f ca="1">IFERROR(__xludf.DUMMYFUNCTION("UNIQUE ('Рівненська'!F37)"),"")</f>
        <v/>
      </c>
      <c r="X38" s="12" t="str">
        <f ca="1">IFERROR(__xludf.DUMMYFUNCTION("UNIQUE ('Рівненська'!G37)"),"")</f>
        <v/>
      </c>
      <c r="Y38" s="12" t="str">
        <f ca="1">IFERROR(__xludf.DUMMYFUNCTION("UNIQUE ('Рівненська'!H37)"),"")</f>
        <v/>
      </c>
      <c r="Z38" s="12" t="str">
        <f ca="1">IFERROR(__xludf.DUMMYFUNCTION("UNIQUE ('Рівненська'!I37)"),"")</f>
        <v/>
      </c>
      <c r="AA38" s="9"/>
      <c r="AB38" s="9"/>
      <c r="AC38" s="9"/>
      <c r="AD38" s="9"/>
      <c r="AE38" s="9"/>
      <c r="AF38" s="9"/>
      <c r="AG38" s="11" t="str">
        <f ca="1">IFERROR(__xludf.DUMMYFUNCTION("UNIQUE ('Черкаська'!C37)"),"ПрАТ ""Ватутінський м'ясокомбінат""")</f>
        <v>ПрАТ "Ватутінський м'ясокомбінат"</v>
      </c>
      <c r="AH38" s="9"/>
      <c r="AI38" s="12" t="str">
        <f ca="1">IFERROR(__xludf.DUMMYFUNCTION("UNIQUE ('Чернігівська'!C37)"),"ПП ""МПП-ТРЕЙД""")</f>
        <v>ПП "МПП-ТРЕЙД"</v>
      </c>
      <c r="AJ38" s="9"/>
    </row>
    <row r="39" spans="1:3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3" t="str">
        <f ca="1">IFERROR(__xludf.DUMMYFUNCTION("UNIQUE ('Рівненська'!C38)"),"ПП ""Демидівський консервний завод""")</f>
        <v>ПП "Демидівський консервний завод"</v>
      </c>
      <c r="U39" s="13" t="str">
        <f ca="1">IFERROR(__xludf.DUMMYFUNCTION("UNIQUE ('Рівненська'!D38)"),"вул. 1 Травня, 17, смт Демидівка, Демидівський р-н, 35200")</f>
        <v>вул. 1 Травня, 17, смт Демидівка, Демидівський р-н, 35200</v>
      </c>
      <c r="V39" s="13" t="str">
        <f ca="1">IFERROR(__xludf.DUMMYFUNCTION("UNIQUE ('Рівненська'!E38)"),"a-UA-17-04-98-VIII-РР")</f>
        <v>a-UA-17-04-98-VIII-РР</v>
      </c>
      <c r="W39" s="13" t="str">
        <f ca="1">IFERROR(__xludf.DUMMYFUNCTION("UNIQUE ('Рівненська'!F38)"),"36541208")</f>
        <v>36541208</v>
      </c>
      <c r="X39" s="12" t="str">
        <f ca="1">IFERROR(__xludf.DUMMYFUNCTION("UNIQUE ('Рівненська'!G38)"),"")</f>
        <v/>
      </c>
      <c r="Y39" s="12" t="str">
        <f ca="1">IFERROR(__xludf.DUMMYFUNCTION("UNIQUE ('Рівненська'!H38)"),"")</f>
        <v/>
      </c>
      <c r="Z39" s="12" t="str">
        <f ca="1">IFERROR(__xludf.DUMMYFUNCTION("UNIQUE ('Рівненська'!I38)"),"")</f>
        <v/>
      </c>
      <c r="AA39" s="9"/>
      <c r="AB39" s="9"/>
      <c r="AC39" s="9"/>
      <c r="AD39" s="9"/>
      <c r="AE39" s="9"/>
      <c r="AF39" s="9"/>
      <c r="AG39" s="11" t="str">
        <f ca="1">IFERROR(__xludf.DUMMYFUNCTION("UNIQUE ('Черкаська'!C38)"),"")</f>
        <v/>
      </c>
      <c r="AH39" s="9"/>
      <c r="AI39" s="12" t="str">
        <f ca="1">IFERROR(__xludf.DUMMYFUNCTION("UNIQUE ('Чернігівська'!C38)"),"")</f>
        <v/>
      </c>
      <c r="AJ39" s="9"/>
    </row>
    <row r="40" spans="1:36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" t="str">
        <f ca="1">IFERROR(__xludf.DUMMYFUNCTION("UNIQUE ('Рівненська'!C39)"),"")</f>
        <v/>
      </c>
      <c r="U40" s="13" t="str">
        <f ca="1">IFERROR(__xludf.DUMMYFUNCTION("UNIQUE ('Рівненська'!D39)"),"")</f>
        <v/>
      </c>
      <c r="V40" s="13" t="str">
        <f ca="1">IFERROR(__xludf.DUMMYFUNCTION("UNIQUE ('Рівненська'!E39)"),"")</f>
        <v/>
      </c>
      <c r="W40" s="13" t="str">
        <f ca="1">IFERROR(__xludf.DUMMYFUNCTION("UNIQUE ('Рівненська'!F39)"),"")</f>
        <v/>
      </c>
      <c r="X40" s="12" t="str">
        <f ca="1">IFERROR(__xludf.DUMMYFUNCTION("UNIQUE ('Рівненська'!G39)"),"")</f>
        <v/>
      </c>
      <c r="Y40" s="12" t="str">
        <f ca="1">IFERROR(__xludf.DUMMYFUNCTION("UNIQUE ('Рівненська'!H39)"),"")</f>
        <v/>
      </c>
      <c r="Z40" s="12" t="str">
        <f ca="1">IFERROR(__xludf.DUMMYFUNCTION("UNIQUE ('Рівненська'!I39)"),"")</f>
        <v/>
      </c>
      <c r="AA40" s="9"/>
      <c r="AB40" s="9"/>
      <c r="AC40" s="9"/>
      <c r="AD40" s="9"/>
      <c r="AE40" s="9"/>
      <c r="AF40" s="9"/>
      <c r="AG40" s="11" t="str">
        <f ca="1">IFERROR(__xludf.DUMMYFUNCTION("UNIQUE ('Черкаська'!C39)"),"ТОВ "" Ермій""")</f>
        <v>ТОВ " Ермій"</v>
      </c>
      <c r="AH40" s="9"/>
      <c r="AI40" s="12" t="str">
        <f ca="1">IFERROR(__xludf.DUMMYFUNCTION("UNIQUE ('Чернігівська'!C39)"),"ТОВ ""Сільпо-ФУД""")</f>
        <v>ТОВ "Сільпо-ФУД"</v>
      </c>
      <c r="AJ40" s="9"/>
    </row>
    <row r="41" spans="1:36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3" t="str">
        <f ca="1">IFERROR(__xludf.DUMMYFUNCTION("UNIQUE ('Рівненська'!C40)"),"ФОП Котяш Людмила Тихонівна")</f>
        <v>ФОП Котяш Людмила Тихонівна</v>
      </c>
      <c r="U41" s="13" t="str">
        <f ca="1">IFERROR(__xludf.DUMMYFUNCTION("UNIQUE ('Рівненська'!D40)"),"вул. Цегельна 12, м. Дубровиця, Дубровицький р-н, Рівненська обл., 34100")</f>
        <v>вул. Цегельна 12, м. Дубровиця, Дубровицький р-н, Рівненська обл., 34100</v>
      </c>
      <c r="V41" s="13" t="str">
        <f ca="1">IFERROR(__xludf.DUMMYFUNCTION("UNIQUE ('Рівненська'!E40)"),"a-UA-17-06-237-VІ-PP")</f>
        <v>a-UA-17-06-237-VІ-PP</v>
      </c>
      <c r="W41" s="13" t="str">
        <f ca="1">IFERROR(__xludf.DUMMYFUNCTION("UNIQUE ('Рівненська'!F40)"),"2445807087")</f>
        <v>2445807087</v>
      </c>
      <c r="X41" s="12" t="str">
        <f ca="1">IFERROR(__xludf.DUMMYFUNCTION("UNIQUE ('Рівненська'!G40)"),"*")</f>
        <v>*</v>
      </c>
      <c r="Y41" s="12" t="str">
        <f ca="1">IFERROR(__xludf.DUMMYFUNCTION("UNIQUE ('Рівненська'!H40)"),"*")</f>
        <v>*</v>
      </c>
      <c r="Z41" s="12" t="str">
        <f ca="1">IFERROR(__xludf.DUMMYFUNCTION("UNIQUE ('Рівненська'!I40)"),"")</f>
        <v/>
      </c>
      <c r="AA41" s="9"/>
      <c r="AB41" s="9"/>
      <c r="AC41" s="9"/>
      <c r="AD41" s="9"/>
      <c r="AE41" s="9"/>
      <c r="AF41" s="9"/>
      <c r="AG41" s="11" t="str">
        <f ca="1">IFERROR(__xludf.DUMMYFUNCTION("UNIQUE ('Черкаська'!C40)"),"")</f>
        <v/>
      </c>
      <c r="AH41" s="9"/>
      <c r="AI41" s="12" t="str">
        <f ca="1">IFERROR(__xludf.DUMMYFUNCTION("UNIQUE ('Чернігівська'!C40)"),"")</f>
        <v/>
      </c>
      <c r="AJ41" s="9"/>
    </row>
    <row r="42" spans="1:36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 t="str">
        <f ca="1">IFERROR(__xludf.DUMMYFUNCTION("UNIQUE ('Рівненська'!C41)"),"ФОП Пшеничний Віктор Олександрович")</f>
        <v>ФОП Пшеничний Віктор Олександрович</v>
      </c>
      <c r="U42" s="13" t="str">
        <f ca="1">IFERROR(__xludf.DUMMYFUNCTION("UNIQUE ('Рівненська'!D41)"),"вул. 1000 ліття Дубровиці, 6, м. Дубровиця, Рівненська обл., 34100")</f>
        <v>вул. 1000 ліття Дубровиці, 6, м. Дубровиця, Рівненська обл., 34100</v>
      </c>
      <c r="V42" s="13" t="str">
        <f ca="1">IFERROR(__xludf.DUMMYFUNCTION("UNIQUE ('Рівненська'!E41)"),"")</f>
        <v/>
      </c>
      <c r="W42" s="13" t="str">
        <f ca="1">IFERROR(__xludf.DUMMYFUNCTION("UNIQUE ('Рівненська'!F41)"),"2022504448")</f>
        <v>2022504448</v>
      </c>
      <c r="X42" s="12" t="str">
        <f ca="1">IFERROR(__xludf.DUMMYFUNCTION("UNIQUE ('Рівненська'!G41)"),"*")</f>
        <v>*</v>
      </c>
      <c r="Y42" s="12" t="str">
        <f ca="1">IFERROR(__xludf.DUMMYFUNCTION("UNIQUE ('Рівненська'!H41)"),"*")</f>
        <v>*</v>
      </c>
      <c r="Z42" s="12" t="str">
        <f ca="1">IFERROR(__xludf.DUMMYFUNCTION("UNIQUE ('Рівненська'!I41)"),"")</f>
        <v/>
      </c>
      <c r="AA42" s="9"/>
      <c r="AB42" s="9"/>
      <c r="AC42" s="9"/>
      <c r="AD42" s="9"/>
      <c r="AE42" s="9"/>
      <c r="AF42" s="9"/>
      <c r="AG42" s="11" t="str">
        <f ca="1">IFERROR(__xludf.DUMMYFUNCTION("UNIQUE ('Черкаська'!C41)"),"ПрАТ ""Миронівська птахофабрика""")</f>
        <v>ПрАТ "Миронівська птахофабрика"</v>
      </c>
      <c r="AH42" s="9"/>
      <c r="AI42" s="12" t="str">
        <f ca="1">IFERROR(__xludf.DUMMYFUNCTION("UNIQUE ('Чернігівська'!C41)"),"ТОВ ""АЛЬЯНС МАРКЕТ""")</f>
        <v>ТОВ "АЛЬЯНС МАРКЕТ"</v>
      </c>
      <c r="AJ42" s="9"/>
    </row>
    <row r="43" spans="1:36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3" t="str">
        <f ca="1">IFERROR(__xludf.DUMMYFUNCTION("UNIQUE ('Рівненська'!C42)"),"ФОП Сінельникова Ана вікторівна")</f>
        <v>ФОП Сінельникова Ана вікторівна</v>
      </c>
      <c r="U43" s="13" t="str">
        <f ca="1">IFERROR(__xludf.DUMMYFUNCTION("UNIQUE ('Рівненська'!D42)"),"вул. Миру 8, м. Дубровиця, Рівненська обл., 34100")</f>
        <v>вул. Миру 8, м. Дубровиця, Рівненська обл., 34100</v>
      </c>
      <c r="V43" s="13" t="str">
        <f ca="1">IFERROR(__xludf.DUMMYFUNCTION("UNIQUE ('Рівненська'!E42)"),"")</f>
        <v/>
      </c>
      <c r="W43" s="13" t="str">
        <f ca="1">IFERROR(__xludf.DUMMYFUNCTION("UNIQUE ('Рівненська'!F42)"),"3367115082")</f>
        <v>3367115082</v>
      </c>
      <c r="X43" s="12" t="str">
        <f ca="1">IFERROR(__xludf.DUMMYFUNCTION("UNIQUE ('Рівненська'!G42)"),"*")</f>
        <v>*</v>
      </c>
      <c r="Y43" s="12" t="str">
        <f ca="1">IFERROR(__xludf.DUMMYFUNCTION("UNIQUE ('Рівненська'!H42)"),"*")</f>
        <v>*</v>
      </c>
      <c r="Z43" s="12" t="str">
        <f ca="1">IFERROR(__xludf.DUMMYFUNCTION("UNIQUE ('Рівненська'!I42)"),"")</f>
        <v/>
      </c>
      <c r="AA43" s="9"/>
      <c r="AB43" s="9"/>
      <c r="AC43" s="9"/>
      <c r="AD43" s="9"/>
      <c r="AE43" s="9"/>
      <c r="AF43" s="9"/>
      <c r="AG43" s="11" t="str">
        <f ca="1">IFERROR(__xludf.DUMMYFUNCTION("UNIQUE ('Черкаська'!C42)"),"")</f>
        <v/>
      </c>
      <c r="AH43" s="9"/>
      <c r="AI43" s="12" t="str">
        <f ca="1">IFERROR(__xludf.DUMMYFUNCTION("UNIQUE ('Чернігівська'!C42)"),"ТОВ ""АЛЬЯНС МАРКЕТ""")</f>
        <v>ТОВ "АЛЬЯНС МАРКЕТ"</v>
      </c>
      <c r="AJ43" s="9"/>
    </row>
    <row r="44" spans="1:36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3" t="str">
        <f ca="1">IFERROR(__xludf.DUMMYFUNCTION("UNIQUE ('Рівненська'!C43)"),"ТзОВ ""ЮльСоф""")</f>
        <v>ТзОВ "ЮльСоф"</v>
      </c>
      <c r="U44" s="13" t="str">
        <f ca="1">IFERROR(__xludf.DUMMYFUNCTION("UNIQUE ('Рівненська'!D43)"),"вул. Миру 7, м. Дубровиця, Рівненська обл., 34100")</f>
        <v>вул. Миру 7, м. Дубровиця, Рівненська обл., 34100</v>
      </c>
      <c r="V44" s="13" t="str">
        <f ca="1">IFERROR(__xludf.DUMMYFUNCTION("UNIQUE ('Рівненська'!E43)"),"")</f>
        <v/>
      </c>
      <c r="W44" s="13" t="str">
        <f ca="1">IFERROR(__xludf.DUMMYFUNCTION("UNIQUE ('Рівненська'!F43)"),"34132770")</f>
        <v>34132770</v>
      </c>
      <c r="X44" s="12" t="str">
        <f ca="1">IFERROR(__xludf.DUMMYFUNCTION("UNIQUE ('Рівненська'!G43)"),"*")</f>
        <v>*</v>
      </c>
      <c r="Y44" s="12" t="str">
        <f ca="1">IFERROR(__xludf.DUMMYFUNCTION("UNIQUE ('Рівненська'!H43)"),"*")</f>
        <v>*</v>
      </c>
      <c r="Z44" s="12" t="str">
        <f ca="1">IFERROR(__xludf.DUMMYFUNCTION("UNIQUE ('Рівненська'!I43)"),"")</f>
        <v/>
      </c>
      <c r="AA44" s="9"/>
      <c r="AB44" s="9"/>
      <c r="AC44" s="9"/>
      <c r="AD44" s="9"/>
      <c r="AE44" s="9"/>
      <c r="AF44" s="9"/>
      <c r="AG44" s="11" t="str">
        <f ca="1">IFERROR(__xludf.DUMMYFUNCTION("UNIQUE ('Черкаська'!C43)"),"ПрАТ ""Миронівська птахофабрика""")</f>
        <v>ПрАТ "Миронівська птахофабрика"</v>
      </c>
      <c r="AH44" s="9"/>
      <c r="AI44" s="12" t="str">
        <f ca="1">IFERROR(__xludf.DUMMYFUNCTION("UNIQUE ('Чернігівська'!C43)"),"ТОВ ""АЛЬЯНС МАРКЕТ""")</f>
        <v>ТОВ "АЛЬЯНС МАРКЕТ"</v>
      </c>
      <c r="AJ44" s="9"/>
    </row>
    <row r="45" spans="1:36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3" t="str">
        <f ca="1">IFERROR(__xludf.DUMMYFUNCTION("UNIQUE ('Рівненська'!C44)"),"")</f>
        <v/>
      </c>
      <c r="U45" s="13" t="str">
        <f ca="1">IFERROR(__xludf.DUMMYFUNCTION("UNIQUE ('Рівненська'!D44)"),"")</f>
        <v/>
      </c>
      <c r="V45" s="13" t="str">
        <f ca="1">IFERROR(__xludf.DUMMYFUNCTION("UNIQUE ('Рівненська'!E44)"),"")</f>
        <v/>
      </c>
      <c r="W45" s="13" t="str">
        <f ca="1">IFERROR(__xludf.DUMMYFUNCTION("UNIQUE ('Рівненська'!F44)"),"")</f>
        <v/>
      </c>
      <c r="X45" s="12" t="str">
        <f ca="1">IFERROR(__xludf.DUMMYFUNCTION("UNIQUE ('Рівненська'!G44)"),"")</f>
        <v/>
      </c>
      <c r="Y45" s="12" t="str">
        <f ca="1">IFERROR(__xludf.DUMMYFUNCTION("UNIQUE ('Рівненська'!H44)"),"")</f>
        <v/>
      </c>
      <c r="Z45" s="12" t="str">
        <f ca="1">IFERROR(__xludf.DUMMYFUNCTION("UNIQUE ('Рівненська'!I44)"),"")</f>
        <v/>
      </c>
      <c r="AA45" s="9"/>
      <c r="AB45" s="9"/>
      <c r="AC45" s="9"/>
      <c r="AD45" s="9"/>
      <c r="AE45" s="9"/>
      <c r="AF45" s="9"/>
      <c r="AG45" s="11" t="str">
        <f ca="1">IFERROR(__xludf.DUMMYFUNCTION("UNIQUE ('Черкаська'!C44)"),"")</f>
        <v/>
      </c>
      <c r="AH45" s="9"/>
      <c r="AI45" s="12" t="str">
        <f ca="1">IFERROR(__xludf.DUMMYFUNCTION("UNIQUE ('Чернігівська'!C44)"),"")</f>
        <v/>
      </c>
      <c r="AJ45" s="9"/>
    </row>
    <row r="46" spans="1:3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3" t="str">
        <f ca="1">IFERROR(__xludf.DUMMYFUNCTION("UNIQUE ('Рівненська'!C45)"),"ФОП Андріюк Олександр Мойсейович")</f>
        <v>ФОП Андріюк Олександр Мойсейович</v>
      </c>
      <c r="U46" s="13" t="str">
        <f ca="1">IFERROR(__xludf.DUMMYFUNCTION("UNIQUE ('Рівненська'!D45)"),"вул. Б.Хмельницького, 28, смт Мізоч, Здолбунівський р-н, Рівненська обл., 35740")</f>
        <v>вул. Б.Хмельницького, 28, смт Мізоч, Здолбунівський р-н, Рівненська обл., 35740</v>
      </c>
      <c r="V46" s="13" t="str">
        <f ca="1">IFERROR(__xludf.DUMMYFUNCTION("UNIQUE ('Рівненська'!E45)"),"17-08-28-Mt")</f>
        <v>17-08-28-Mt</v>
      </c>
      <c r="W46" s="13" t="str">
        <f ca="1">IFERROR(__xludf.DUMMYFUNCTION("UNIQUE ('Рівненська'!F45)"),"2432618417")</f>
        <v>2432618417</v>
      </c>
      <c r="X46" s="12" t="str">
        <f ca="1">IFERROR(__xludf.DUMMYFUNCTION("UNIQUE ('Рівненська'!G45)"),"*")</f>
        <v>*</v>
      </c>
      <c r="Y46" s="12" t="str">
        <f ca="1">IFERROR(__xludf.DUMMYFUNCTION("UNIQUE ('Рівненська'!H45)"),"*")</f>
        <v>*</v>
      </c>
      <c r="Z46" s="12" t="str">
        <f ca="1">IFERROR(__xludf.DUMMYFUNCTION("UNIQUE ('Рівненська'!I45)"),"")</f>
        <v/>
      </c>
      <c r="AA46" s="9"/>
      <c r="AB46" s="9"/>
      <c r="AC46" s="9"/>
      <c r="AD46" s="9"/>
      <c r="AE46" s="9"/>
      <c r="AF46" s="9"/>
      <c r="AG46" s="11" t="str">
        <f ca="1">IFERROR(__xludf.DUMMYFUNCTION("UNIQUE ('Черкаська'!C45)"),"ПрАТ ""Миронівська птахофабрика""")</f>
        <v>ПрАТ "Миронівська птахофабрика"</v>
      </c>
      <c r="AH46" s="9"/>
      <c r="AI46" s="12" t="str">
        <f ca="1">IFERROR(__xludf.DUMMYFUNCTION("UNIQUE ('Чернігівська'!C45)"),"ТОВ ""ЕКО""")</f>
        <v>ТОВ "ЕКО"</v>
      </c>
      <c r="AJ46" s="9"/>
    </row>
    <row r="47" spans="1:36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3" t="str">
        <f ca="1">IFERROR(__xludf.DUMMYFUNCTION("UNIQUE ('Рівненська'!C46)"),"ФОП Андріюк Наталія Євгенівна")</f>
        <v>ФОП Андріюк Наталія Євгенівна</v>
      </c>
      <c r="U47" s="13" t="str">
        <f ca="1">IFERROR(__xludf.DUMMYFUNCTION("UNIQUE ('Рівненська'!D46)"),"вул. Б.Хмельницького, 28, смт Мізоч, Здолбунівський р-н, Рівненська обл., 35740")</f>
        <v>вул. Б.Хмельницького, 28, смт Мізоч, Здолбунівський р-н, Рівненська обл., 35740</v>
      </c>
      <c r="V47" s="13" t="str">
        <f ca="1">IFERROR(__xludf.DUMMYFUNCTION("UNIQUE ('Рівненська'!E46)"),"17-08-21-Mt")</f>
        <v>17-08-21-Mt</v>
      </c>
      <c r="W47" s="13" t="str">
        <f ca="1">IFERROR(__xludf.DUMMYFUNCTION("UNIQUE ('Рівненська'!F46)"),"2450117223")</f>
        <v>2450117223</v>
      </c>
      <c r="X47" s="12" t="str">
        <f ca="1">IFERROR(__xludf.DUMMYFUNCTION("UNIQUE ('Рівненська'!G46)"),"*")</f>
        <v>*</v>
      </c>
      <c r="Y47" s="12" t="str">
        <f ca="1">IFERROR(__xludf.DUMMYFUNCTION("UNIQUE ('Рівненська'!H46)"),"*")</f>
        <v>*</v>
      </c>
      <c r="Z47" s="12" t="str">
        <f ca="1">IFERROR(__xludf.DUMMYFUNCTION("UNIQUE ('Рівненська'!I46)"),"")</f>
        <v/>
      </c>
      <c r="AA47" s="9"/>
      <c r="AB47" s="9"/>
      <c r="AC47" s="9"/>
      <c r="AD47" s="9"/>
      <c r="AE47" s="9"/>
      <c r="AF47" s="9"/>
      <c r="AG47" s="11" t="str">
        <f ca="1">IFERROR(__xludf.DUMMYFUNCTION("UNIQUE ('Черкаська'!C46)"),"")</f>
        <v/>
      </c>
      <c r="AH47" s="9"/>
      <c r="AI47" s="12" t="str">
        <f ca="1">IFERROR(__xludf.DUMMYFUNCTION("UNIQUE ('Чернігівська'!C46)"),"ТОВ ""ЕКО""")</f>
        <v>ТОВ "ЕКО"</v>
      </c>
      <c r="AJ47" s="9"/>
    </row>
    <row r="48" spans="1:36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3" t="str">
        <f ca="1">IFERROR(__xludf.DUMMYFUNCTION("UNIQUE ('Рівненська'!C47)"),"ТзОВ ""Продсервіс""")</f>
        <v>ТзОВ "Продсервіс"</v>
      </c>
      <c r="U48" s="13" t="str">
        <f ca="1">IFERROR(__xludf.DUMMYFUNCTION("UNIQUE ('Рівненська'!D47)"),"вул. 8-го Березня, 44, м. Здолбунів, Рівненська обл., 35700")</f>
        <v>вул. 8-го Березня, 44, м. Здолбунів, Рівненська обл., 35700</v>
      </c>
      <c r="V48" s="13" t="str">
        <f ca="1">IFERROR(__xludf.DUMMYFUNCTION("UNIQUE ('Рівненська'!E47)"),"a-UA-17-08-343-VІ-PР")</f>
        <v>a-UA-17-08-343-VІ-PР</v>
      </c>
      <c r="W48" s="13" t="str">
        <f ca="1">IFERROR(__xludf.DUMMYFUNCTION("UNIQUE ('Рівненська'!F47)"),"32497428")</f>
        <v>32497428</v>
      </c>
      <c r="X48" s="12" t="str">
        <f ca="1">IFERROR(__xludf.DUMMYFUNCTION("UNIQUE ('Рівненська'!G47)"),"*")</f>
        <v>*</v>
      </c>
      <c r="Y48" s="12" t="str">
        <f ca="1">IFERROR(__xludf.DUMMYFUNCTION("UNIQUE ('Рівненська'!H47)"),"*")</f>
        <v>*</v>
      </c>
      <c r="Z48" s="12" t="str">
        <f ca="1">IFERROR(__xludf.DUMMYFUNCTION("UNIQUE ('Рівненська'!I47)"),"")</f>
        <v/>
      </c>
      <c r="AA48" s="9"/>
      <c r="AB48" s="9"/>
      <c r="AC48" s="9"/>
      <c r="AD48" s="9"/>
      <c r="AE48" s="9"/>
      <c r="AF48" s="9"/>
      <c r="AG48" s="11" t="str">
        <f ca="1">IFERROR(__xludf.DUMMYFUNCTION("UNIQUE ('Черкаська'!C47)"),"ПрАТ ""Миронівська птахофабрика""")</f>
        <v>ПрАТ "Миронівська птахофабрика"</v>
      </c>
      <c r="AH48" s="9"/>
      <c r="AI48" s="12" t="str">
        <f ca="1">IFERROR(__xludf.DUMMYFUNCTION("UNIQUE ('Чернігівська'!C47)"),"ТОВ ""ЕКО""")</f>
        <v>ТОВ "ЕКО"</v>
      </c>
      <c r="AJ48" s="9"/>
    </row>
    <row r="49" spans="1:36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3" t="str">
        <f ca="1">IFERROR(__xludf.DUMMYFUNCTION("UNIQUE ('Рівненська'!C48)"),"")</f>
        <v/>
      </c>
      <c r="U49" s="13" t="str">
        <f ca="1">IFERROR(__xludf.DUMMYFUNCTION("UNIQUE ('Рівненська'!D48)"),"")</f>
        <v/>
      </c>
      <c r="V49" s="13" t="str">
        <f ca="1">IFERROR(__xludf.DUMMYFUNCTION("UNIQUE ('Рівненська'!E48)"),"")</f>
        <v/>
      </c>
      <c r="W49" s="13" t="str">
        <f ca="1">IFERROR(__xludf.DUMMYFUNCTION("UNIQUE ('Рівненська'!F48)"),"")</f>
        <v/>
      </c>
      <c r="X49" s="12" t="str">
        <f ca="1">IFERROR(__xludf.DUMMYFUNCTION("UNIQUE ('Рівненська'!G48)"),"")</f>
        <v/>
      </c>
      <c r="Y49" s="12" t="str">
        <f ca="1">IFERROR(__xludf.DUMMYFUNCTION("UNIQUE ('Рівненська'!H48)"),"")</f>
        <v/>
      </c>
      <c r="Z49" s="12" t="str">
        <f ca="1">IFERROR(__xludf.DUMMYFUNCTION("UNIQUE ('Рівненська'!I48)"),"")</f>
        <v/>
      </c>
      <c r="AA49" s="9"/>
      <c r="AB49" s="9"/>
      <c r="AC49" s="9"/>
      <c r="AD49" s="9"/>
      <c r="AE49" s="9"/>
      <c r="AF49" s="9"/>
      <c r="AG49" s="11" t="str">
        <f ca="1">IFERROR(__xludf.DUMMYFUNCTION("UNIQUE ('Черкаська'!C48)"),"")</f>
        <v/>
      </c>
      <c r="AH49" s="9"/>
      <c r="AI49" s="12" t="str">
        <f ca="1">IFERROR(__xludf.DUMMYFUNCTION("UNIQUE ('Чернігівська'!C48)"),"")</f>
        <v/>
      </c>
      <c r="AJ49" s="9"/>
    </row>
    <row r="50" spans="1:3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3" t="str">
        <f ca="1">IFERROR(__xludf.DUMMYFUNCTION("UNIQUE ('Рівненська'!C49)"),"ФОП Нікітчук Володимир Валентинович")</f>
        <v>ФОП Нікітчук Володимир Валентинович</v>
      </c>
      <c r="U50" s="13" t="str">
        <f ca="1">IFERROR(__xludf.DUMMYFUNCTION("UNIQUE ('Рівненська'!D49)"),"вул. Берегова, 4А, с. Ільпінь-ІІ, Здолбунівський р-н, Рівненська обл., 35708")</f>
        <v>вул. Берегова, 4А, с. Ільпінь-ІІ, Здолбунівський р-н, Рівненська обл., 35708</v>
      </c>
      <c r="V50" s="13" t="str">
        <f ca="1">IFERROR(__xludf.DUMMYFUNCTION("UNIQUE ('Рівненська'!E49)"),"17-08-09 РМ")</f>
        <v>17-08-09 РМ</v>
      </c>
      <c r="W50" s="13" t="str">
        <f ca="1">IFERROR(__xludf.DUMMYFUNCTION("UNIQUE ('Рівненська'!F49)"),"3054404277")</f>
        <v>3054404277</v>
      </c>
      <c r="X50" s="12" t="str">
        <f ca="1">IFERROR(__xludf.DUMMYFUNCTION("UNIQUE ('Рівненська'!G49)"),"*")</f>
        <v>*</v>
      </c>
      <c r="Y50" s="12" t="str">
        <f ca="1">IFERROR(__xludf.DUMMYFUNCTION("UNIQUE ('Рівненська'!H49)"),"")</f>
        <v/>
      </c>
      <c r="Z50" s="12" t="str">
        <f ca="1">IFERROR(__xludf.DUMMYFUNCTION("UNIQUE ('Рівненська'!I49)"),"")</f>
        <v/>
      </c>
      <c r="AA50" s="9"/>
      <c r="AB50" s="9"/>
      <c r="AC50" s="9"/>
      <c r="AD50" s="9"/>
      <c r="AE50" s="9"/>
      <c r="AF50" s="9"/>
      <c r="AG50" s="11" t="str">
        <f ca="1">IFERROR(__xludf.DUMMYFUNCTION("UNIQUE ('Черкаська'!C49)"),"ПрАТ ""Миронівська птахофабрика""")</f>
        <v>ПрАТ "Миронівська птахофабрика"</v>
      </c>
      <c r="AH50" s="9"/>
      <c r="AI50" s="12" t="str">
        <f ca="1">IFERROR(__xludf.DUMMYFUNCTION("UNIQUE ('Чернігівська'!C49)"),"ТОВ ""Сільпо-ФУД""")</f>
        <v>ТОВ "Сільпо-ФУД"</v>
      </c>
      <c r="AJ50" s="9"/>
    </row>
    <row r="51" spans="1:36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3" t="str">
        <f ca="1">IFERROR(__xludf.DUMMYFUNCTION("UNIQUE ('Рівненська'!C50)"),"ФОП Гаврилюк Олег Олександрович")</f>
        <v>ФОП Гаврилюк Олег Олександрович</v>
      </c>
      <c r="U51" s="13" t="str">
        <f ca="1">IFERROR(__xludf.DUMMYFUNCTION("UNIQUE ('Рівненська'!D50)"),"вул. Семиграни, 41, с. Ільпінь, Здолбунівський р-н, Рівненська обл., 35708")</f>
        <v>вул. Семиграни, 41, с. Ільпінь, Здолбунівський р-н, Рівненська обл., 35708</v>
      </c>
      <c r="V51" s="13" t="str">
        <f ca="1">IFERROR(__xludf.DUMMYFUNCTION("UNIQUE ('Рівненська'!E50)"),"17-08-29 Mt")</f>
        <v>17-08-29 Mt</v>
      </c>
      <c r="W51" s="13" t="str">
        <f ca="1">IFERROR(__xludf.DUMMYFUNCTION("UNIQUE ('Рівненська'!F50)"),"2396103531")</f>
        <v>2396103531</v>
      </c>
      <c r="X51" s="12" t="str">
        <f ca="1">IFERROR(__xludf.DUMMYFUNCTION("UNIQUE ('Рівненська'!G50)"),"")</f>
        <v/>
      </c>
      <c r="Y51" s="12" t="str">
        <f ca="1">IFERROR(__xludf.DUMMYFUNCTION("UNIQUE ('Рівненська'!H50)"),"*")</f>
        <v>*</v>
      </c>
      <c r="Z51" s="12" t="str">
        <f ca="1">IFERROR(__xludf.DUMMYFUNCTION("UNIQUE ('Рівненська'!I50)"),"")</f>
        <v/>
      </c>
      <c r="AA51" s="9"/>
      <c r="AB51" s="9"/>
      <c r="AC51" s="9"/>
      <c r="AD51" s="9"/>
      <c r="AE51" s="9"/>
      <c r="AF51" s="9"/>
      <c r="AG51" s="11" t="str">
        <f ca="1">IFERROR(__xludf.DUMMYFUNCTION("UNIQUE ('Черкаська'!C50)"),"")</f>
        <v/>
      </c>
      <c r="AH51" s="9"/>
      <c r="AI51" s="12" t="str">
        <f ca="1">IFERROR(__xludf.DUMMYFUNCTION("UNIQUE ('Чернігівська'!C50)"),"ТОВ ""Сільпо-ФУД""")</f>
        <v>ТОВ "Сільпо-ФУД"</v>
      </c>
      <c r="AJ51" s="9"/>
    </row>
    <row r="52" spans="1:3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3" t="str">
        <f ca="1">IFERROR(__xludf.DUMMYFUNCTION("UNIQUE ('Рівненська'!C51)"),"")</f>
        <v/>
      </c>
      <c r="U52" s="13" t="str">
        <f ca="1">IFERROR(__xludf.DUMMYFUNCTION("UNIQUE ('Рівненська'!D51)"),"")</f>
        <v/>
      </c>
      <c r="V52" s="13" t="str">
        <f ca="1">IFERROR(__xludf.DUMMYFUNCTION("UNIQUE ('Рівненська'!E51)"),"")</f>
        <v/>
      </c>
      <c r="W52" s="13" t="str">
        <f ca="1">IFERROR(__xludf.DUMMYFUNCTION("UNIQUE ('Рівненська'!F51)"),"")</f>
        <v/>
      </c>
      <c r="X52" s="12" t="str">
        <f ca="1">IFERROR(__xludf.DUMMYFUNCTION("UNIQUE ('Рівненська'!G51)"),"")</f>
        <v/>
      </c>
      <c r="Y52" s="12" t="str">
        <f ca="1">IFERROR(__xludf.DUMMYFUNCTION("UNIQUE ('Рівненська'!H51)"),"")</f>
        <v/>
      </c>
      <c r="Z52" s="12" t="str">
        <f ca="1">IFERROR(__xludf.DUMMYFUNCTION("UNIQUE ('Рівненська'!I51)"),"")</f>
        <v/>
      </c>
      <c r="AA52" s="9"/>
      <c r="AB52" s="9"/>
      <c r="AC52" s="9"/>
      <c r="AD52" s="9"/>
      <c r="AE52" s="9"/>
      <c r="AF52" s="9"/>
      <c r="AG52" s="11" t="str">
        <f ca="1">IFERROR(__xludf.DUMMYFUNCTION("UNIQUE ('Черкаська'!C51)"),"ПрАТ ""Миронівська птахофабрика""")</f>
        <v>ПрАТ "Миронівська птахофабрика"</v>
      </c>
      <c r="AH52" s="9"/>
      <c r="AI52" s="12" t="str">
        <f ca="1">IFERROR(__xludf.DUMMYFUNCTION("UNIQUE ('Чернігівська'!C51)"),"")</f>
        <v/>
      </c>
      <c r="AJ52" s="9"/>
    </row>
    <row r="53" spans="1:36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3" t="str">
        <f ca="1">IFERROR(__xludf.DUMMYFUNCTION("UNIQUE ('Рівненська'!C52)"),"ФОП Садовник Мар'яна Іванівна")</f>
        <v>ФОП Садовник Мар'яна Іванівна</v>
      </c>
      <c r="U53" s="13" t="str">
        <f ca="1">IFERROR(__xludf.DUMMYFUNCTION("UNIQUE ('Рівненська'!D52)"),"вул. Шкільна, 29, м. Здолбунів, Рівненська обл., 35700")</f>
        <v>вул. Шкільна, 29, м. Здолбунів, Рівненська обл., 35700</v>
      </c>
      <c r="V53" s="13" t="str">
        <f ca="1">IFERROR(__xludf.DUMMYFUNCTION("UNIQUE ('Рівненська'!E52)"),"3269816324")</f>
        <v>3269816324</v>
      </c>
      <c r="W53" s="13" t="str">
        <f ca="1">IFERROR(__xludf.DUMMYFUNCTION("UNIQUE ('Рівненська'!F52)"),"")</f>
        <v/>
      </c>
      <c r="X53" s="12" t="str">
        <f ca="1">IFERROR(__xludf.DUMMYFUNCTION("UNIQUE ('Рівненська'!G52)"),"")</f>
        <v/>
      </c>
      <c r="Y53" s="12" t="str">
        <f ca="1">IFERROR(__xludf.DUMMYFUNCTION("UNIQUE ('Рівненська'!H52)"),"*")</f>
        <v>*</v>
      </c>
      <c r="Z53" s="12" t="str">
        <f ca="1">IFERROR(__xludf.DUMMYFUNCTION("UNIQUE ('Рівненська'!I52)"),"")</f>
        <v/>
      </c>
      <c r="AA53" s="9"/>
      <c r="AB53" s="9"/>
      <c r="AC53" s="9"/>
      <c r="AD53" s="9"/>
      <c r="AE53" s="9"/>
      <c r="AF53" s="9"/>
      <c r="AG53" s="11" t="str">
        <f ca="1">IFERROR(__xludf.DUMMYFUNCTION("UNIQUE ('Черкаська'!C52)"),"")</f>
        <v/>
      </c>
      <c r="AH53" s="9"/>
      <c r="AI53" s="12" t="str">
        <f ca="1">IFERROR(__xludf.DUMMYFUNCTION("UNIQUE ('Чернігівська'!C52)"),"ТОВ ""Чернігівський м’ясний двір""")</f>
        <v>ТОВ "Чернігівський м’ясний двір"</v>
      </c>
      <c r="AJ53" s="9"/>
    </row>
    <row r="54" spans="1:36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3" t="str">
        <f ca="1">IFERROR(__xludf.DUMMYFUNCTION("UNIQUE ('Рівненська'!C53)"),"ФОП Єгорова Валентина Миколаївна")</f>
        <v>ФОП Єгорова Валентина Миколаївна</v>
      </c>
      <c r="U54" s="13" t="str">
        <f ca="1">IFERROR(__xludf.DUMMYFUNCTION("UNIQUE ('Рівненська'!D53)"),"вул. Б.Хмельницького, 20, м. Здолбунів, Рівненська обл., 35705")</f>
        <v>вул. Б.Хмельницького, 20, м. Здолбунів, Рівненська обл., 35705</v>
      </c>
      <c r="V54" s="13" t="str">
        <f ca="1">IFERROR(__xludf.DUMMYFUNCTION("UNIQUE ('Рівненська'!E53)"),"2982301346")</f>
        <v>2982301346</v>
      </c>
      <c r="W54" s="13" t="str">
        <f ca="1">IFERROR(__xludf.DUMMYFUNCTION("UNIQUE ('Рівненська'!F53)"),"")</f>
        <v/>
      </c>
      <c r="X54" s="12" t="str">
        <f ca="1">IFERROR(__xludf.DUMMYFUNCTION("UNIQUE ('Рівненська'!G53)"),"")</f>
        <v/>
      </c>
      <c r="Y54" s="12" t="str">
        <f ca="1">IFERROR(__xludf.DUMMYFUNCTION("UNIQUE ('Рівненська'!H53)"),"*")</f>
        <v>*</v>
      </c>
      <c r="Z54" s="12" t="str">
        <f ca="1">IFERROR(__xludf.DUMMYFUNCTION("UNIQUE ('Рівненська'!I53)"),"")</f>
        <v/>
      </c>
      <c r="AA54" s="9"/>
      <c r="AB54" s="9"/>
      <c r="AC54" s="9"/>
      <c r="AD54" s="9"/>
      <c r="AE54" s="9"/>
      <c r="AF54" s="9"/>
      <c r="AG54" s="11" t="str">
        <f ca="1">IFERROR(__xludf.DUMMYFUNCTION("UNIQUE ('Черкаська'!C53)"),"ПрАТ ""Миронівська птахофабрика""")</f>
        <v>ПрАТ "Миронівська птахофабрика"</v>
      </c>
      <c r="AH54" s="9"/>
      <c r="AI54" s="12" t="str">
        <f ca="1">IFERROR(__xludf.DUMMYFUNCTION("UNIQUE ('Чернігівська'!C53)"),"")</f>
        <v/>
      </c>
      <c r="AJ54" s="9"/>
    </row>
    <row r="55" spans="1:36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3" t="str">
        <f ca="1">IFERROR(__xludf.DUMMYFUNCTION("UNIQUE ('Рівненська'!C54)"),"")</f>
        <v/>
      </c>
      <c r="U55" s="13" t="str">
        <f ca="1">IFERROR(__xludf.DUMMYFUNCTION("UNIQUE ('Рівненська'!D54)"),"")</f>
        <v/>
      </c>
      <c r="V55" s="13" t="str">
        <f ca="1">IFERROR(__xludf.DUMMYFUNCTION("UNIQUE ('Рівненська'!E54)"),"")</f>
        <v/>
      </c>
      <c r="W55" s="13" t="str">
        <f ca="1">IFERROR(__xludf.DUMMYFUNCTION("UNIQUE ('Рівненська'!F54)"),"")</f>
        <v/>
      </c>
      <c r="X55" s="12" t="str">
        <f ca="1">IFERROR(__xludf.DUMMYFUNCTION("UNIQUE ('Рівненська'!G54)"),"")</f>
        <v/>
      </c>
      <c r="Y55" s="12" t="str">
        <f ca="1">IFERROR(__xludf.DUMMYFUNCTION("UNIQUE ('Рівненська'!H54)"),"")</f>
        <v/>
      </c>
      <c r="Z55" s="12" t="str">
        <f ca="1">IFERROR(__xludf.DUMMYFUNCTION("UNIQUE ('Рівненська'!I54)"),"")</f>
        <v/>
      </c>
      <c r="AA55" s="9"/>
      <c r="AB55" s="9"/>
      <c r="AC55" s="9"/>
      <c r="AD55" s="9"/>
      <c r="AE55" s="9"/>
      <c r="AF55" s="9"/>
      <c r="AG55" s="11" t="str">
        <f ca="1">IFERROR(__xludf.DUMMYFUNCTION("UNIQUE ('Черкаська'!C54)"),"")</f>
        <v/>
      </c>
      <c r="AH55" s="9"/>
      <c r="AI55" s="12" t="str">
        <f ca="1">IFERROR(__xludf.DUMMYFUNCTION("UNIQUE ('Чернігівська'!C54)"),"")</f>
        <v/>
      </c>
      <c r="AJ55" s="9"/>
    </row>
    <row r="56" spans="1:3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3" t="str">
        <f ca="1">IFERROR(__xludf.DUMMYFUNCTION("UNIQUE ('Рівненська'!C55)"),"ФОП Галушко Ірина Олександрівна")</f>
        <v>ФОП Галушко Ірина Олександрівна</v>
      </c>
      <c r="U56" s="13" t="str">
        <f ca="1">IFERROR(__xludf.DUMMYFUNCTION("UNIQUE ('Рівненська'!D55)"),"вул. Київська, 2а, с. Користь, Корецький р-н, Рівненська обл., 34740")</f>
        <v>вул. Київська, 2а, с. Користь, Корецький р-н, Рівненська обл., 34740</v>
      </c>
      <c r="V56" s="13" t="str">
        <f ca="1">IFERROR(__xludf.DUMMYFUNCTION("UNIQUE ('Рівненська'!E55)"),"17-09-07 Mt")</f>
        <v>17-09-07 Mt</v>
      </c>
      <c r="W56" s="13" t="str">
        <f ca="1">IFERROR(__xludf.DUMMYFUNCTION("UNIQUE ('Рівненська'!F55)"),"2736408006")</f>
        <v>2736408006</v>
      </c>
      <c r="X56" s="12" t="str">
        <f ca="1">IFERROR(__xludf.DUMMYFUNCTION("UNIQUE ('Рівненська'!G55)"),"*")</f>
        <v>*</v>
      </c>
      <c r="Y56" s="12" t="str">
        <f ca="1">IFERROR(__xludf.DUMMYFUNCTION("UNIQUE ('Рівненська'!H55)"),"*")</f>
        <v>*</v>
      </c>
      <c r="Z56" s="12" t="str">
        <f ca="1">IFERROR(__xludf.DUMMYFUNCTION("UNIQUE ('Рівненська'!I55)"),"")</f>
        <v/>
      </c>
      <c r="AA56" s="9"/>
      <c r="AB56" s="9"/>
      <c r="AC56" s="9"/>
      <c r="AD56" s="9"/>
      <c r="AE56" s="9"/>
      <c r="AF56" s="9"/>
      <c r="AG56" s="11" t="str">
        <f ca="1">IFERROR(__xludf.DUMMYFUNCTION("UNIQUE ('Черкаська'!C55)"),"ТОВ ""Агроплант""")</f>
        <v>ТОВ "Агроплант"</v>
      </c>
      <c r="AH56" s="9"/>
      <c r="AI56" s="12" t="str">
        <f ca="1">IFERROR(__xludf.DUMMYFUNCTION("UNIQUE ('Чернігівська'!C55)"),"")</f>
        <v/>
      </c>
      <c r="AJ56" s="9"/>
    </row>
    <row r="57" spans="1:36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3" t="str">
        <f ca="1">IFERROR(__xludf.DUMMYFUNCTION("UNIQUE ('Рівненська'!C56)"),"ФОП Гринь Віктор Олександрович")</f>
        <v>ФОП Гринь Віктор Олександрович</v>
      </c>
      <c r="U57" s="13" t="str">
        <f ca="1">IFERROR(__xludf.DUMMYFUNCTION("UNIQUE ('Рівненська'!D56)"),"вул. Пушкіна, 3, с. Жадківка, Корецький р-н, Рівненська обл., 34707")</f>
        <v>вул. Пушкіна, 3, с. Жадківка, Корецький р-н, Рівненська обл., 34707</v>
      </c>
      <c r="V57" s="13" t="str">
        <f ca="1">IFERROR(__xludf.DUMMYFUNCTION("UNIQUE ('Рівненська'!E56)"),"17-09-06 Mt")</f>
        <v>17-09-06 Mt</v>
      </c>
      <c r="W57" s="13" t="str">
        <f ca="1">IFERROR(__xludf.DUMMYFUNCTION("UNIQUE ('Рівненська'!F56)"),"2971716095")</f>
        <v>2971716095</v>
      </c>
      <c r="X57" s="12" t="str">
        <f ca="1">IFERROR(__xludf.DUMMYFUNCTION("UNIQUE ('Рівненська'!G56)"),"*")</f>
        <v>*</v>
      </c>
      <c r="Y57" s="12" t="str">
        <f ca="1">IFERROR(__xludf.DUMMYFUNCTION("UNIQUE ('Рівненська'!H56)"),"*")</f>
        <v>*</v>
      </c>
      <c r="Z57" s="12" t="str">
        <f ca="1">IFERROR(__xludf.DUMMYFUNCTION("UNIQUE ('Рівненська'!I56)"),"")</f>
        <v/>
      </c>
      <c r="AA57" s="9"/>
      <c r="AB57" s="9"/>
      <c r="AC57" s="9"/>
      <c r="AD57" s="9"/>
      <c r="AE57" s="9"/>
      <c r="AF57" s="9"/>
      <c r="AG57" s="11" t="str">
        <f ca="1">IFERROR(__xludf.DUMMYFUNCTION("UNIQUE ('Черкаська'!C56)"),"")</f>
        <v/>
      </c>
      <c r="AH57" s="9"/>
      <c r="AI57" s="12" t="str">
        <f ca="1">IFERROR(__xludf.DUMMYFUNCTION("UNIQUE ('Чернігівська'!C56)"),"")</f>
        <v/>
      </c>
      <c r="AJ57" s="9"/>
    </row>
    <row r="58" spans="1:36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3" t="str">
        <f ca="1">IFERROR(__xludf.DUMMYFUNCTION("UNIQUE ('Рівненська'!C57)"),"ФОП Бецан Іванна Василівна")</f>
        <v>ФОП Бецан Іванна Василівна</v>
      </c>
      <c r="U58" s="13" t="str">
        <f ca="1">IFERROR(__xludf.DUMMYFUNCTION("UNIQUE ('Рівненська'!D57)"),"вул. Радківського, 9, м. Корець, Рівненська обл., 34700")</f>
        <v>вул. Радківського, 9, м. Корець, Рівненська обл., 34700</v>
      </c>
      <c r="V58" s="13" t="str">
        <f ca="1">IFERROR(__xludf.DUMMYFUNCTION("UNIQUE ('Рівненська'!E57)"),"a-UA-17-09-382-0-СS")</f>
        <v>a-UA-17-09-382-0-СS</v>
      </c>
      <c r="W58" s="13" t="str">
        <f ca="1">IFERROR(__xludf.DUMMYFUNCTION("UNIQUE ('Рівненська'!F57)"),"2689606486")</f>
        <v>2689606486</v>
      </c>
      <c r="X58" s="12" t="str">
        <f ca="1">IFERROR(__xludf.DUMMYFUNCTION("UNIQUE ('Рівненська'!G57)"),"*")</f>
        <v>*</v>
      </c>
      <c r="Y58" s="12" t="str">
        <f ca="1">IFERROR(__xludf.DUMMYFUNCTION("UNIQUE ('Рівненська'!H57)"),"")</f>
        <v/>
      </c>
      <c r="Z58" s="12" t="str">
        <f ca="1">IFERROR(__xludf.DUMMYFUNCTION("UNIQUE ('Рівненська'!I57)"),"*")</f>
        <v>*</v>
      </c>
      <c r="AA58" s="9"/>
      <c r="AB58" s="9"/>
      <c r="AC58" s="9"/>
      <c r="AD58" s="9"/>
      <c r="AE58" s="9"/>
      <c r="AF58" s="9"/>
      <c r="AG58" s="11" t="str">
        <f ca="1">IFERROR(__xludf.DUMMYFUNCTION("UNIQUE ('Черкаська'!C57)"),"ФОП ""Коломієць""")</f>
        <v>ФОП "Коломієць"</v>
      </c>
      <c r="AH58" s="9"/>
      <c r="AI58" s="12" t="str">
        <f ca="1">IFERROR(__xludf.DUMMYFUNCTION("UNIQUE ('Чернігівська'!C57)"),"")</f>
        <v/>
      </c>
      <c r="AJ58" s="9"/>
    </row>
    <row r="59" spans="1:36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3" t="str">
        <f ca="1">IFERROR(__xludf.DUMMYFUNCTION("UNIQUE ('Рівненська'!C58)"),"ТОВ ""Монашинські сири.""")</f>
        <v>ТОВ "Монашинські сири."</v>
      </c>
      <c r="U59" s="13" t="str">
        <f ca="1">IFERROR(__xludf.DUMMYFUNCTION("UNIQUE ('Рівненська'!D58)"),"Урочище Монашинський Хутір, 2, с. Морозівка, Корецький р-н, Рівненська обл., 34709")</f>
        <v>Урочище Монашинський Хутір, 2, с. Морозівка, Корецький р-н, Рівненська обл., 34709</v>
      </c>
      <c r="V59" s="13" t="str">
        <f ca="1">IFERROR(__xludf.DUMMYFUNCTION("UNIQUE ('Рівненська'!E58)"),"a-UA-17-09-395-IX-PP")</f>
        <v>a-UA-17-09-395-IX-PP</v>
      </c>
      <c r="W59" s="13" t="str">
        <f ca="1">IFERROR(__xludf.DUMMYFUNCTION("UNIQUE ('Рівненська'!F58)"),"40854517")</f>
        <v>40854517</v>
      </c>
      <c r="X59" s="12" t="str">
        <f ca="1">IFERROR(__xludf.DUMMYFUNCTION("UNIQUE ('Рівненська'!G58)"),"")</f>
        <v/>
      </c>
      <c r="Y59" s="12" t="str">
        <f ca="1">IFERROR(__xludf.DUMMYFUNCTION("UNIQUE ('Рівненська'!H58)"),"")</f>
        <v/>
      </c>
      <c r="Z59" s="12" t="str">
        <f ca="1">IFERROR(__xludf.DUMMYFUNCTION("UNIQUE ('Рівненська'!I58)"),"")</f>
        <v/>
      </c>
      <c r="AA59" s="9"/>
      <c r="AB59" s="9"/>
      <c r="AC59" s="9"/>
      <c r="AD59" s="9"/>
      <c r="AE59" s="9"/>
      <c r="AF59" s="9"/>
      <c r="AG59" s="11" t="str">
        <f ca="1">IFERROR(__xludf.DUMMYFUNCTION("UNIQUE ('Черкаська'!C58)"),"")</f>
        <v/>
      </c>
      <c r="AH59" s="9"/>
      <c r="AI59" s="12" t="str">
        <f ca="1">IFERROR(__xludf.DUMMYFUNCTION("UNIQUE ('Чернігівська'!C58)"),"")</f>
        <v/>
      </c>
      <c r="AJ59" s="9"/>
    </row>
    <row r="60" spans="1:36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" t="str">
        <f ca="1">IFERROR(__xludf.DUMMYFUNCTION("UNIQUE ('Рівненська'!C59)"),"ТОВ ""ПАСТЕР-МОЛ""")</f>
        <v>ТОВ "ПАСТЕР-МОЛ"</v>
      </c>
      <c r="U60" s="13" t="str">
        <f ca="1">IFERROR(__xludf.DUMMYFUNCTION("UNIQUE ('Рівненська'!D59)"),"Урочище Монашинський Хутір, 2, с. Морозівка, Корецький р-н, Рівненська обл., 34709")</f>
        <v>Урочище Монашинський Хутір, 2, с. Морозівка, Корецький р-н, Рівненська обл., 34709</v>
      </c>
      <c r="V60" s="13" t="str">
        <f ca="1">IFERROR(__xludf.DUMMYFUNCTION("UNIQUE ('Рівненська'!E59)"),"a-UA-17-09-394-IX-PP")</f>
        <v>a-UA-17-09-394-IX-PP</v>
      </c>
      <c r="W60" s="13" t="str">
        <f ca="1">IFERROR(__xludf.DUMMYFUNCTION("UNIQUE ('Рівненська'!F59)"),"36788994")</f>
        <v>36788994</v>
      </c>
      <c r="X60" s="12" t="str">
        <f ca="1">IFERROR(__xludf.DUMMYFUNCTION("UNIQUE ('Рівненська'!G59)"),"")</f>
        <v/>
      </c>
      <c r="Y60" s="12" t="str">
        <f ca="1">IFERROR(__xludf.DUMMYFUNCTION("UNIQUE ('Рівненська'!H59)"),"")</f>
        <v/>
      </c>
      <c r="Z60" s="12" t="str">
        <f ca="1">IFERROR(__xludf.DUMMYFUNCTION("UNIQUE ('Рівненська'!I59)"),"")</f>
        <v/>
      </c>
      <c r="AA60" s="9"/>
      <c r="AB60" s="9"/>
      <c r="AC60" s="9"/>
      <c r="AD60" s="9"/>
      <c r="AE60" s="9"/>
      <c r="AF60" s="9"/>
      <c r="AG60" s="11" t="str">
        <f ca="1">IFERROR(__xludf.DUMMYFUNCTION("UNIQUE ('Черкаська'!C59)"),"МПП ""Агропромресурси""")</f>
        <v>МПП "Агропромресурси"</v>
      </c>
      <c r="AH60" s="9"/>
      <c r="AI60" s="12" t="str">
        <f ca="1">IFERROR(__xludf.DUMMYFUNCTION("UNIQUE ('Чернігівська'!C59)"),"")</f>
        <v/>
      </c>
      <c r="AJ60" s="9"/>
    </row>
    <row r="61" spans="1:36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3" t="str">
        <f ca="1">IFERROR(__xludf.DUMMYFUNCTION("UNIQUE ('Рівненська'!C60)"),"ФОП Шурін Іван Тарасович")</f>
        <v>ФОП Шурін Іван Тарасович</v>
      </c>
      <c r="U61" s="13" t="str">
        <f ca="1">IFERROR(__xludf.DUMMYFUNCTION("UNIQUE ('Рівненська'!D60)"),"вул. Київська, 100, м. Корець, Рівненська обл., 34700")</f>
        <v>вул. Київська, 100, м. Корець, Рівненська обл., 34700</v>
      </c>
      <c r="V61" s="13" t="str">
        <f ca="1">IFERROR(__xludf.DUMMYFUNCTION("UNIQUE ('Рівненська'!E60)"),"")</f>
        <v/>
      </c>
      <c r="W61" s="13" t="str">
        <f ca="1">IFERROR(__xludf.DUMMYFUNCTION("UNIQUE ('Рівненська'!F60)"),"3089722721")</f>
        <v>3089722721</v>
      </c>
      <c r="X61" s="12" t="str">
        <f ca="1">IFERROR(__xludf.DUMMYFUNCTION("UNIQUE ('Рівненська'!G60)"),"*")</f>
        <v>*</v>
      </c>
      <c r="Y61" s="12" t="str">
        <f ca="1">IFERROR(__xludf.DUMMYFUNCTION("UNIQUE ('Рівненська'!H60)"),"")</f>
        <v/>
      </c>
      <c r="Z61" s="12" t="str">
        <f ca="1">IFERROR(__xludf.DUMMYFUNCTION("UNIQUE ('Рівненська'!I60)"),"")</f>
        <v/>
      </c>
      <c r="AA61" s="9"/>
      <c r="AB61" s="9"/>
      <c r="AC61" s="9"/>
      <c r="AD61" s="9"/>
      <c r="AE61" s="9"/>
      <c r="AF61" s="9"/>
      <c r="AG61" s="11" t="str">
        <f ca="1">IFERROR(__xludf.DUMMYFUNCTION("UNIQUE ('Черкаська'!C60)"),"")</f>
        <v/>
      </c>
      <c r="AH61" s="9"/>
      <c r="AI61" s="9"/>
      <c r="AJ61" s="9"/>
    </row>
    <row r="62" spans="1:36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3" t="str">
        <f ca="1">IFERROR(__xludf.DUMMYFUNCTION("UNIQUE ('Рівненська'!C61)"),"ТзОВ ""ТД Аванта""")</f>
        <v>ТзОВ "ТД Аванта"</v>
      </c>
      <c r="U62" s="13" t="str">
        <f ca="1">IFERROR(__xludf.DUMMYFUNCTION("UNIQUE ('Рівненська'!D61)"),"пл. Київська, 7, м. Корець, Рівненська обл., 34700")</f>
        <v>пл. Київська, 7, м. Корець, Рівненська обл., 34700</v>
      </c>
      <c r="V62" s="13" t="str">
        <f ca="1">IFERROR(__xludf.DUMMYFUNCTION("UNIQUE ('Рівненська'!E61)"),"")</f>
        <v/>
      </c>
      <c r="W62" s="13" t="str">
        <f ca="1">IFERROR(__xludf.DUMMYFUNCTION("UNIQUE ('Рівненська'!F61)"),"35495114")</f>
        <v>35495114</v>
      </c>
      <c r="X62" s="12" t="str">
        <f ca="1">IFERROR(__xludf.DUMMYFUNCTION("UNIQUE ('Рівненська'!G61)"),"")</f>
        <v/>
      </c>
      <c r="Y62" s="12" t="str">
        <f ca="1">IFERROR(__xludf.DUMMYFUNCTION("UNIQUE ('Рівненська'!H61)"),"")</f>
        <v/>
      </c>
      <c r="Z62" s="12" t="str">
        <f ca="1">IFERROR(__xludf.DUMMYFUNCTION("UNIQUE ('Рівненська'!I61)"),"")</f>
        <v/>
      </c>
      <c r="AA62" s="9"/>
      <c r="AB62" s="9"/>
      <c r="AC62" s="9"/>
      <c r="AD62" s="9"/>
      <c r="AE62" s="9"/>
      <c r="AF62" s="9"/>
      <c r="AG62" s="11" t="str">
        <f ca="1">IFERROR(__xludf.DUMMYFUNCTION("UNIQUE ('Черкаська'!C61)"),"ТОВ ""НОВУС Україна""")</f>
        <v>ТОВ "НОВУС Україна"</v>
      </c>
      <c r="AH62" s="9"/>
      <c r="AI62" s="9"/>
      <c r="AJ62" s="9"/>
    </row>
    <row r="63" spans="1:36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3" t="str">
        <f ca="1">IFERROR(__xludf.DUMMYFUNCTION("UNIQUE ('Рівненська'!C62)"),"ТОВ ""Фаворит-Агро""")</f>
        <v>ТОВ "Фаворит-Агро"</v>
      </c>
      <c r="U63" s="13" t="str">
        <f ca="1">IFERROR(__xludf.DUMMYFUNCTION("UNIQUE ('Рівненська'!D62)"),"вул. Київська, 8, м. Корець, Рівненська обл., 34700")</f>
        <v>вул. Київська, 8, м. Корець, Рівненська обл., 34700</v>
      </c>
      <c r="V63" s="13" t="str">
        <f ca="1">IFERROR(__xludf.DUMMYFUNCTION("UNIQUE ('Рівненська'!E62)"),"a-UA-17-09-394-IX-PP")</f>
        <v>a-UA-17-09-394-IX-PP</v>
      </c>
      <c r="W63" s="13" t="str">
        <f ca="1">IFERROR(__xludf.DUMMYFUNCTION("UNIQUE ('Рівненська'!F62)"),"33852673")</f>
        <v>33852673</v>
      </c>
      <c r="X63" s="12" t="str">
        <f ca="1">IFERROR(__xludf.DUMMYFUNCTION("UNIQUE ('Рівненська'!G62)"),"")</f>
        <v/>
      </c>
      <c r="Y63" s="12" t="str">
        <f ca="1">IFERROR(__xludf.DUMMYFUNCTION("UNIQUE ('Рівненська'!H62)"),"")</f>
        <v/>
      </c>
      <c r="Z63" s="12" t="str">
        <f ca="1">IFERROR(__xludf.DUMMYFUNCTION("UNIQUE ('Рівненська'!I62)"),"")</f>
        <v/>
      </c>
      <c r="AA63" s="9"/>
      <c r="AB63" s="9"/>
      <c r="AC63" s="9"/>
      <c r="AD63" s="9"/>
      <c r="AE63" s="9"/>
      <c r="AF63" s="9"/>
      <c r="AG63" s="11" t="str">
        <f ca="1">IFERROR(__xludf.DUMMYFUNCTION("UNIQUE ('Черкаська'!C62)"),"ТОВ ""Прадо-2014""")</f>
        <v>ТОВ "Прадо-2014"</v>
      </c>
      <c r="AH63" s="9"/>
      <c r="AI63" s="9"/>
      <c r="AJ63" s="9"/>
    </row>
    <row r="64" spans="1:36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3" t="str">
        <f ca="1">IFERROR(__xludf.DUMMYFUNCTION("UNIQUE ('Рівненська'!C63)"),"")</f>
        <v/>
      </c>
      <c r="U64" s="13" t="str">
        <f ca="1">IFERROR(__xludf.DUMMYFUNCTION("UNIQUE ('Рівненська'!D63)"),"")</f>
        <v/>
      </c>
      <c r="V64" s="13" t="str">
        <f ca="1">IFERROR(__xludf.DUMMYFUNCTION("UNIQUE ('Рівненська'!E63)"),"")</f>
        <v/>
      </c>
      <c r="W64" s="13" t="str">
        <f ca="1">IFERROR(__xludf.DUMMYFUNCTION("UNIQUE ('Рівненська'!F63)"),"")</f>
        <v/>
      </c>
      <c r="X64" s="12" t="str">
        <f ca="1">IFERROR(__xludf.DUMMYFUNCTION("UNIQUE ('Рівненська'!G63)"),"")</f>
        <v/>
      </c>
      <c r="Y64" s="12" t="str">
        <f ca="1">IFERROR(__xludf.DUMMYFUNCTION("UNIQUE ('Рівненська'!H63)"),"")</f>
        <v/>
      </c>
      <c r="Z64" s="12" t="str">
        <f ca="1">IFERROR(__xludf.DUMMYFUNCTION("UNIQUE ('Рівненська'!I63)"),"")</f>
        <v/>
      </c>
      <c r="AA64" s="9"/>
      <c r="AB64" s="9"/>
      <c r="AC64" s="9"/>
      <c r="AD64" s="9"/>
      <c r="AE64" s="9"/>
      <c r="AF64" s="9"/>
      <c r="AG64" s="11" t="str">
        <f ca="1">IFERROR(__xludf.DUMMYFUNCTION("UNIQUE ('Черкаська'!C63)"),"")</f>
        <v/>
      </c>
      <c r="AH64" s="9"/>
      <c r="AI64" s="9"/>
      <c r="AJ64" s="9"/>
    </row>
    <row r="65" spans="1:36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3" t="str">
        <f ca="1">IFERROR(__xludf.DUMMYFUNCTION("UNIQUE ('Рівненська'!C64)"),"ФОП Майстров Василь Дмитрович")</f>
        <v>ФОП Майстров Василь Дмитрович</v>
      </c>
      <c r="U65" s="13" t="str">
        <f ca="1">IFERROR(__xludf.DUMMYFUNCTION("UNIQUE ('Рівненська'!D64)"),"вул. Польова, 2, с. Стовпин, Корецький р-н, Рівненська обл., 34731")</f>
        <v>вул. Польова, 2, с. Стовпин, Корецький р-н, Рівненська обл., 34731</v>
      </c>
      <c r="V65" s="13" t="str">
        <f ca="1">IFERROR(__xludf.DUMMYFUNCTION("UNIQUE ('Рівненська'!E64)"),"17-09-04 Mt")</f>
        <v>17-09-04 Mt</v>
      </c>
      <c r="W65" s="13" t="str">
        <f ca="1">IFERROR(__xludf.DUMMYFUNCTION("UNIQUE ('Рівненська'!F64)"),"2301313852")</f>
        <v>2301313852</v>
      </c>
      <c r="X65" s="12" t="str">
        <f ca="1">IFERROR(__xludf.DUMMYFUNCTION("UNIQUE ('Рівненська'!G64)"),"*")</f>
        <v>*</v>
      </c>
      <c r="Y65" s="12" t="str">
        <f ca="1">IFERROR(__xludf.DUMMYFUNCTION("UNIQUE ('Рівненська'!H64)"),"*")</f>
        <v>*</v>
      </c>
      <c r="Z65" s="12" t="str">
        <f ca="1">IFERROR(__xludf.DUMMYFUNCTION("UNIQUE ('Рівненська'!I64)"),"")</f>
        <v/>
      </c>
      <c r="AA65" s="9"/>
      <c r="AB65" s="9"/>
      <c r="AC65" s="9"/>
      <c r="AD65" s="9"/>
      <c r="AE65" s="9"/>
      <c r="AF65" s="9"/>
      <c r="AG65" s="11" t="str">
        <f ca="1">IFERROR(__xludf.DUMMYFUNCTION("UNIQUE ('Черкаська'!C64)"),"ТОВ ""Сільпо Фуд""")</f>
        <v>ТОВ "Сільпо Фуд"</v>
      </c>
      <c r="AH65" s="9"/>
      <c r="AI65" s="9"/>
      <c r="AJ65" s="9"/>
    </row>
    <row r="66" spans="1:3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3" t="str">
        <f ca="1">IFERROR(__xludf.DUMMYFUNCTION("UNIQUE ('Рівненська'!C65)"),"ФОП Майстров Микола Васильович")</f>
        <v>ФОП Майстров Микола Васильович</v>
      </c>
      <c r="U66" s="13" t="str">
        <f ca="1">IFERROR(__xludf.DUMMYFUNCTION("UNIQUE ('Рівненська'!D65)"),"вул. Шкільна, 64 б, с. Світанок, Корецький р-н, Рівненська обл., 34730")</f>
        <v>вул. Шкільна, 64 б, с. Світанок, Корецький р-н, Рівненська обл., 34730</v>
      </c>
      <c r="V66" s="13" t="str">
        <f ca="1">IFERROR(__xludf.DUMMYFUNCTION("UNIQUE ('Рівненська'!E65)"),"a-UA-17-09-354-VI-PP")</f>
        <v>a-UA-17-09-354-VI-PP</v>
      </c>
      <c r="W66" s="13" t="str">
        <f ca="1">IFERROR(__xludf.DUMMYFUNCTION("UNIQUE ('Рівненська'!F65)"),"3192818770")</f>
        <v>3192818770</v>
      </c>
      <c r="X66" s="12" t="str">
        <f ca="1">IFERROR(__xludf.DUMMYFUNCTION("UNIQUE ('Рівненська'!G65)"),"*")</f>
        <v>*</v>
      </c>
      <c r="Y66" s="12" t="str">
        <f ca="1">IFERROR(__xludf.DUMMYFUNCTION("UNIQUE ('Рівненська'!H65)"),"*")</f>
        <v>*</v>
      </c>
      <c r="Z66" s="12" t="str">
        <f ca="1">IFERROR(__xludf.DUMMYFUNCTION("UNIQUE ('Рівненська'!I65)"),"")</f>
        <v/>
      </c>
      <c r="AA66" s="9"/>
      <c r="AB66" s="9"/>
      <c r="AC66" s="9"/>
      <c r="AD66" s="9"/>
      <c r="AE66" s="9"/>
      <c r="AF66" s="9"/>
      <c r="AG66" s="11" t="str">
        <f ca="1">IFERROR(__xludf.DUMMYFUNCTION("UNIQUE ('Черкаська'!C65)"),"ТОВ ""Сільпо Фуд""")</f>
        <v>ТОВ "Сільпо Фуд"</v>
      </c>
      <c r="AH66" s="9"/>
      <c r="AI66" s="9"/>
      <c r="AJ66" s="9"/>
    </row>
    <row r="67" spans="1:36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3" t="str">
        <f ca="1">IFERROR(__xludf.DUMMYFUNCTION("UNIQUE ('Рівненська'!C66)"),"ФОП Солтисюк Тетяна Петрівна")</f>
        <v>ФОП Солтисюк Тетяна Петрівна</v>
      </c>
      <c r="U67" s="13" t="str">
        <f ca="1">IFERROR(__xludf.DUMMYFUNCTION("UNIQUE ('Рівненська'!D66)"),"вул. Корецька, 19а, с. Великі Межирічі, Корецький р-н, Рівненська обл., 34725")</f>
        <v>вул. Корецька, 19а, с. Великі Межирічі, Корецький р-н, Рівненська обл., 34725</v>
      </c>
      <c r="V67" s="13" t="str">
        <f ca="1">IFERROR(__xludf.DUMMYFUNCTION("UNIQUE ('Рівненська'!E66)"),"17-09-02 Mt")</f>
        <v>17-09-02 Mt</v>
      </c>
      <c r="W67" s="13" t="str">
        <f ca="1">IFERROR(__xludf.DUMMYFUNCTION("UNIQUE ('Рівненська'!F66)"),"2536712629")</f>
        <v>2536712629</v>
      </c>
      <c r="X67" s="12" t="str">
        <f ca="1">IFERROR(__xludf.DUMMYFUNCTION("UNIQUE ('Рівненська'!G66)"),"*")</f>
        <v>*</v>
      </c>
      <c r="Y67" s="12" t="str">
        <f ca="1">IFERROR(__xludf.DUMMYFUNCTION("UNIQUE ('Рівненська'!H66)"),"*")</f>
        <v>*</v>
      </c>
      <c r="Z67" s="12" t="str">
        <f ca="1">IFERROR(__xludf.DUMMYFUNCTION("UNIQUE ('Рівненська'!I66)"),"")</f>
        <v/>
      </c>
      <c r="AA67" s="9"/>
      <c r="AB67" s="9"/>
      <c r="AC67" s="9"/>
      <c r="AD67" s="9"/>
      <c r="AE67" s="9"/>
      <c r="AF67" s="9"/>
      <c r="AG67" s="11" t="str">
        <f ca="1">IFERROR(__xludf.DUMMYFUNCTION("UNIQUE ('Черкаська'!C66)"),"ТОВ ""Сільпо Фуд""")</f>
        <v>ТОВ "Сільпо Фуд"</v>
      </c>
      <c r="AH67" s="9"/>
      <c r="AI67" s="9"/>
      <c r="AJ67" s="9"/>
    </row>
    <row r="68" spans="1:36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3" t="str">
        <f ca="1">IFERROR(__xludf.DUMMYFUNCTION("UNIQUE ('Рівненська'!C67)"),"ФОП Шостак Юрій Володимирович")</f>
        <v>ФОП Шостак Юрій Володимирович</v>
      </c>
      <c r="U68" s="13" t="str">
        <f ca="1">IFERROR(__xludf.DUMMYFUNCTION("UNIQUE ('Рівненська'!D67)"),"вул. Першого Травня, 8, с. Великі Межирічі, Корецький р-н, Рівненська обл., 34725")</f>
        <v>вул. Першого Травня, 8, с. Великі Межирічі, Корецький р-н, Рівненська обл., 34725</v>
      </c>
      <c r="V68" s="13" t="str">
        <f ca="1">IFERROR(__xludf.DUMMYFUNCTION("UNIQUE ('Рівненська'!E67)"),"17-09-11 Mt")</f>
        <v>17-09-11 Mt</v>
      </c>
      <c r="W68" s="13" t="str">
        <f ca="1">IFERROR(__xludf.DUMMYFUNCTION("UNIQUE ('Рівненська'!F67)"),"2417500096")</f>
        <v>2417500096</v>
      </c>
      <c r="X68" s="12" t="str">
        <f ca="1">IFERROR(__xludf.DUMMYFUNCTION("UNIQUE ('Рівненська'!G67)"),"*")</f>
        <v>*</v>
      </c>
      <c r="Y68" s="12" t="str">
        <f ca="1">IFERROR(__xludf.DUMMYFUNCTION("UNIQUE ('Рівненська'!H67)"),"*")</f>
        <v>*</v>
      </c>
      <c r="Z68" s="12" t="str">
        <f ca="1">IFERROR(__xludf.DUMMYFUNCTION("UNIQUE ('Рівненська'!I67)"),"")</f>
        <v/>
      </c>
      <c r="AA68" s="9"/>
      <c r="AB68" s="9"/>
      <c r="AC68" s="9"/>
      <c r="AD68" s="9"/>
      <c r="AE68" s="9"/>
      <c r="AF68" s="9"/>
      <c r="AG68" s="11" t="str">
        <f ca="1">IFERROR(__xludf.DUMMYFUNCTION("UNIQUE ('Черкаська'!C67)"),"")</f>
        <v/>
      </c>
      <c r="AH68" s="9"/>
      <c r="AI68" s="9"/>
      <c r="AJ68" s="9"/>
    </row>
    <row r="69" spans="1:36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3" t="str">
        <f ca="1">IFERROR(__xludf.DUMMYFUNCTION("UNIQUE ('Рівненська'!C68)"),"ФОП Саєць Георгій Володимирович")</f>
        <v>ФОП Саєць Георгій Володимирович</v>
      </c>
      <c r="U69" s="13" t="str">
        <f ca="1">IFERROR(__xludf.DUMMYFUNCTION("UNIQUE ('Рівненська'!D68)"),"с. Іванівка, Корецький р-н, Рівненська обл., 34731")</f>
        <v>с. Іванівка, Корецький р-н, Рівненська обл., 34731</v>
      </c>
      <c r="V69" s="13" t="str">
        <f ca="1">IFERROR(__xludf.DUMMYFUNCTION("UNIQUE ('Рівненська'!E68)"),"17-09-01 Mt")</f>
        <v>17-09-01 Mt</v>
      </c>
      <c r="W69" s="13" t="str">
        <f ca="1">IFERROR(__xludf.DUMMYFUNCTION("UNIQUE ('Рівненська'!F68)"),"3078814553")</f>
        <v>3078814553</v>
      </c>
      <c r="X69" s="12" t="str">
        <f ca="1">IFERROR(__xludf.DUMMYFUNCTION("UNIQUE ('Рівненська'!G68)"),"*")</f>
        <v>*</v>
      </c>
      <c r="Y69" s="12" t="str">
        <f ca="1">IFERROR(__xludf.DUMMYFUNCTION("UNIQUE ('Рівненська'!H68)"),"*")</f>
        <v>*</v>
      </c>
      <c r="Z69" s="12" t="str">
        <f ca="1">IFERROR(__xludf.DUMMYFUNCTION("UNIQUE ('Рівненська'!I68)"),"")</f>
        <v/>
      </c>
      <c r="AA69" s="9"/>
      <c r="AB69" s="9"/>
      <c r="AC69" s="9"/>
      <c r="AD69" s="9"/>
      <c r="AE69" s="9"/>
      <c r="AF69" s="9"/>
      <c r="AG69" s="11" t="str">
        <f ca="1">IFERROR(__xludf.DUMMYFUNCTION("UNIQUE ('Черкаська'!C68)"),"ТОВ ""Фудком""")</f>
        <v>ТОВ "Фудком"</v>
      </c>
      <c r="AH69" s="9"/>
      <c r="AI69" s="9"/>
      <c r="AJ69" s="9"/>
    </row>
    <row r="70" spans="1:36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3" t="str">
        <f ca="1">IFERROR(__xludf.DUMMYFUNCTION("UNIQUE ('Рівненська'!C69)"),"ФОП Олевський Петро Григорович")</f>
        <v>ФОП Олевський Петро Григорович</v>
      </c>
      <c r="U70" s="13" t="str">
        <f ca="1">IFERROR(__xludf.DUMMYFUNCTION("UNIQUE ('Рівненська'!D69)"),"вул. Грушевського, 5, с. Невірків, Корецький р-н, Рівненська обл., 34721")</f>
        <v>вул. Грушевського, 5, с. Невірків, Корецький р-н, Рівненська обл., 34721</v>
      </c>
      <c r="V70" s="13" t="str">
        <f ca="1">IFERROR(__xludf.DUMMYFUNCTION("UNIQUE ('Рівненська'!E69)"),"")</f>
        <v/>
      </c>
      <c r="W70" s="13" t="str">
        <f ca="1">IFERROR(__xludf.DUMMYFUNCTION("UNIQUE ('Рівненська'!F69)"),"2576520911")</f>
        <v>2576520911</v>
      </c>
      <c r="X70" s="12" t="str">
        <f ca="1">IFERROR(__xludf.DUMMYFUNCTION("UNIQUE ('Рівненська'!G69)"),"*")</f>
        <v>*</v>
      </c>
      <c r="Y70" s="12" t="str">
        <f ca="1">IFERROR(__xludf.DUMMYFUNCTION("UNIQUE ('Рівненська'!H69)"),"*")</f>
        <v>*</v>
      </c>
      <c r="Z70" s="12" t="str">
        <f ca="1">IFERROR(__xludf.DUMMYFUNCTION("UNIQUE ('Рівненська'!I69)"),"*")</f>
        <v>*</v>
      </c>
      <c r="AA70" s="9"/>
      <c r="AB70" s="9"/>
      <c r="AC70" s="9"/>
      <c r="AD70" s="9"/>
      <c r="AE70" s="9"/>
      <c r="AF70" s="9"/>
      <c r="AG70" s="11" t="str">
        <f ca="1">IFERROR(__xludf.DUMMYFUNCTION("UNIQUE ('Черкаська'!C69)"),"")</f>
        <v/>
      </c>
      <c r="AH70" s="9"/>
      <c r="AI70" s="9"/>
      <c r="AJ70" s="9"/>
    </row>
    <row r="71" spans="1:36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 t="str">
        <f t="shared" ref="T71:Z71" ca="1" si="0">IFERROR(__xludf.DUMMYFUNCTION("UNIQUE (#REF!)"),"#REF!")</f>
        <v>#REF!</v>
      </c>
      <c r="U71" s="10" t="str">
        <f t="shared" ca="1" si="0"/>
        <v>#REF!</v>
      </c>
      <c r="V71" s="10" t="str">
        <f t="shared" ca="1" si="0"/>
        <v>#REF!</v>
      </c>
      <c r="W71" s="10" t="str">
        <f t="shared" ca="1" si="0"/>
        <v>#REF!</v>
      </c>
      <c r="X71" s="41" t="str">
        <f t="shared" ca="1" si="0"/>
        <v>#REF!</v>
      </c>
      <c r="Y71" s="41" t="str">
        <f t="shared" ca="1" si="0"/>
        <v>#REF!</v>
      </c>
      <c r="Z71" s="41" t="str">
        <f t="shared" ca="1" si="0"/>
        <v>#REF!</v>
      </c>
      <c r="AA71" s="9"/>
      <c r="AB71" s="9"/>
      <c r="AC71" s="9"/>
      <c r="AD71" s="9"/>
      <c r="AE71" s="9"/>
      <c r="AF71" s="9"/>
      <c r="AG71" s="11" t="str">
        <f ca="1">IFERROR(__xludf.DUMMYFUNCTION("UNIQUE ('Черкаська'!C70)")," СФГ ""Дружба""")</f>
        <v> СФГ "Дружба"</v>
      </c>
      <c r="AH71" s="9"/>
      <c r="AI71" s="9"/>
      <c r="AJ71" s="9"/>
    </row>
    <row r="72" spans="1:36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3" t="str">
        <f ca="1">IFERROR(__xludf.DUMMYFUNCTION("UNIQUE ('Рівненська'!C70)"),"")</f>
        <v/>
      </c>
      <c r="U72" s="13" t="str">
        <f ca="1">IFERROR(__xludf.DUMMYFUNCTION("UNIQUE ('Рівненська'!D70)"),"")</f>
        <v/>
      </c>
      <c r="V72" s="13" t="str">
        <f ca="1">IFERROR(__xludf.DUMMYFUNCTION("UNIQUE ('Рівненська'!E70)"),"")</f>
        <v/>
      </c>
      <c r="W72" s="13" t="str">
        <f ca="1">IFERROR(__xludf.DUMMYFUNCTION("UNIQUE ('Рівненська'!F70)"),"")</f>
        <v/>
      </c>
      <c r="X72" s="12" t="str">
        <f ca="1">IFERROR(__xludf.DUMMYFUNCTION("UNIQUE ('Рівненська'!G70)"),"")</f>
        <v/>
      </c>
      <c r="Y72" s="12" t="str">
        <f ca="1">IFERROR(__xludf.DUMMYFUNCTION("UNIQUE ('Рівненська'!H70)"),"")</f>
        <v/>
      </c>
      <c r="Z72" s="12" t="str">
        <f ca="1">IFERROR(__xludf.DUMMYFUNCTION("UNIQUE ('Рівненська'!I70)"),"")</f>
        <v/>
      </c>
      <c r="AA72" s="9"/>
      <c r="AB72" s="9"/>
      <c r="AC72" s="9"/>
      <c r="AD72" s="9"/>
      <c r="AE72" s="9"/>
      <c r="AF72" s="9"/>
      <c r="AG72" s="11" t="str">
        <f ca="1">IFERROR(__xludf.DUMMYFUNCTION("UNIQUE ('Черкаська'!C71)"),"")</f>
        <v/>
      </c>
      <c r="AH72" s="9"/>
      <c r="AI72" s="9"/>
      <c r="AJ72" s="9"/>
    </row>
    <row r="73" spans="1:3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3" t="str">
        <f ca="1">IFERROR(__xludf.DUMMYFUNCTION("UNIQUE ('Рівненська'!C71)"),"ФОП Кочубей Василь Анатолійович")</f>
        <v>ФОП Кочубей Василь Анатолійович</v>
      </c>
      <c r="U73" s="13" t="str">
        <f ca="1">IFERROR(__xludf.DUMMYFUNCTION("UNIQUE ('Рівненська'!D71)"),"вул. Героїв Небесної Сотні, 29, м. Корець, Рівненська обл., 34700")</f>
        <v>вул. Героїв Небесної Сотні, 29, м. Корець, Рівненська обл., 34700</v>
      </c>
      <c r="V73" s="13" t="str">
        <f ca="1">IFERROR(__xludf.DUMMYFUNCTION("UNIQUE ('Рівненська'!E71)"),"17-09-10 Mt")</f>
        <v>17-09-10 Mt</v>
      </c>
      <c r="W73" s="13" t="str">
        <f ca="1">IFERROR(__xludf.DUMMYFUNCTION("UNIQUE ('Рівненська'!F71)"),"2886518275")</f>
        <v>2886518275</v>
      </c>
      <c r="X73" s="12" t="str">
        <f ca="1">IFERROR(__xludf.DUMMYFUNCTION("UNIQUE ('Рівненська'!G71)"),"*")</f>
        <v>*</v>
      </c>
      <c r="Y73" s="12" t="str">
        <f ca="1">IFERROR(__xludf.DUMMYFUNCTION("UNIQUE ('Рівненська'!H71)"),"*")</f>
        <v>*</v>
      </c>
      <c r="Z73" s="12" t="str">
        <f ca="1">IFERROR(__xludf.DUMMYFUNCTION("UNIQUE ('Рівненська'!I71)"),"")</f>
        <v/>
      </c>
      <c r="AA73" s="9"/>
      <c r="AB73" s="9"/>
      <c r="AC73" s="9"/>
      <c r="AD73" s="9"/>
      <c r="AE73" s="9"/>
      <c r="AF73" s="9"/>
      <c r="AG73" s="11" t="str">
        <f ca="1">IFERROR(__xludf.DUMMYFUNCTION("UNIQUE ('Черкаська'!C72)")," ФОП Сомик С. Г.")</f>
        <v> ФОП Сомик С. Г.</v>
      </c>
      <c r="AH73" s="9"/>
      <c r="AI73" s="9"/>
      <c r="AJ73" s="9"/>
    </row>
    <row r="74" spans="1:3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3" t="str">
        <f ca="1">IFERROR(__xludf.DUMMYFUNCTION("UNIQUE ('Рівненська'!C72)"),"ФОП Христинська Наталія Вікторівна")</f>
        <v>ФОП Христинська Наталія Вікторівна</v>
      </c>
      <c r="U74" s="13" t="str">
        <f ca="1">IFERROR(__xludf.DUMMYFUNCTION("UNIQUE ('Рівненська'!D72)"),"вул. Героїв Небесної Сотні, 29, м. Корець, Рівненська обл., 34700")</f>
        <v>вул. Героїв Небесної Сотні, 29, м. Корець, Рівненська обл., 34700</v>
      </c>
      <c r="V74" s="13" t="str">
        <f ca="1">IFERROR(__xludf.DUMMYFUNCTION("UNIQUE ('Рівненська'!E72)"),"a-UA-17-09-335-VI-PP")</f>
        <v>a-UA-17-09-335-VI-PP</v>
      </c>
      <c r="W74" s="13" t="str">
        <f ca="1">IFERROR(__xludf.DUMMYFUNCTION("UNIQUE ('Рівненська'!F72)"),"2956311942")</f>
        <v>2956311942</v>
      </c>
      <c r="X74" s="12" t="str">
        <f ca="1">IFERROR(__xludf.DUMMYFUNCTION("UNIQUE ('Рівненська'!G72)"),"*")</f>
        <v>*</v>
      </c>
      <c r="Y74" s="12" t="str">
        <f ca="1">IFERROR(__xludf.DUMMYFUNCTION("UNIQUE ('Рівненська'!H72)"),"*")</f>
        <v>*</v>
      </c>
      <c r="Z74" s="12" t="str">
        <f ca="1">IFERROR(__xludf.DUMMYFUNCTION("UNIQUE ('Рівненська'!I72)"),"")</f>
        <v/>
      </c>
      <c r="AA74" s="9"/>
      <c r="AB74" s="9"/>
      <c r="AC74" s="9"/>
      <c r="AD74" s="9"/>
      <c r="AE74" s="9"/>
      <c r="AF74" s="9"/>
      <c r="AG74" s="11" t="str">
        <f ca="1">IFERROR(__xludf.DUMMYFUNCTION("UNIQUE ('Черкаська'!C73)"),"")</f>
        <v/>
      </c>
      <c r="AH74" s="9"/>
      <c r="AI74" s="9"/>
      <c r="AJ74" s="9"/>
    </row>
    <row r="75" spans="1:3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3" t="str">
        <f ca="1">IFERROR(__xludf.DUMMYFUNCTION("UNIQUE ('Рівненська'!C73)"),"ФОП Тарасова Оксана Володимирівна")</f>
        <v>ФОП Тарасова Оксана Володимирівна</v>
      </c>
      <c r="U75" s="13" t="str">
        <f ca="1">IFERROR(__xludf.DUMMYFUNCTION("UNIQUE ('Рівненська'!D73)"),"вул. Героїв Небесної Сотні, 29, м. Корець, Рівненська обл., 34700")</f>
        <v>вул. Героїв Небесної Сотні, 29, м. Корець, Рівненська обл., 34700</v>
      </c>
      <c r="V75" s="13" t="str">
        <f ca="1">IFERROR(__xludf.DUMMYFUNCTION("UNIQUE ('Рівненська'!E73)"),"17-09-14 Mt")</f>
        <v>17-09-14 Mt</v>
      </c>
      <c r="W75" s="13" t="str">
        <f ca="1">IFERROR(__xludf.DUMMYFUNCTION("UNIQUE ('Рівненська'!F73)"),"2747901602")</f>
        <v>2747901602</v>
      </c>
      <c r="X75" s="12" t="str">
        <f ca="1">IFERROR(__xludf.DUMMYFUNCTION("UNIQUE ('Рівненська'!G73)"),"")</f>
        <v/>
      </c>
      <c r="Y75" s="12" t="str">
        <f ca="1">IFERROR(__xludf.DUMMYFUNCTION("UNIQUE ('Рівненська'!H73)"),"*")</f>
        <v>*</v>
      </c>
      <c r="Z75" s="12" t="str">
        <f ca="1">IFERROR(__xludf.DUMMYFUNCTION("UNIQUE ('Рівненська'!I73)"),"")</f>
        <v/>
      </c>
      <c r="AA75" s="9"/>
      <c r="AB75" s="9"/>
      <c r="AC75" s="9"/>
      <c r="AD75" s="9"/>
      <c r="AE75" s="9"/>
      <c r="AF75" s="9"/>
      <c r="AG75" s="11" t="str">
        <f ca="1">IFERROR(__xludf.DUMMYFUNCTION("UNIQUE ('Черкаська'!C74)"),"СТ ""Худобозабійний пункт""")</f>
        <v>СТ "Худобозабійний пункт"</v>
      </c>
      <c r="AH75" s="9"/>
      <c r="AI75" s="9"/>
      <c r="AJ75" s="9"/>
    </row>
    <row r="76" spans="1:3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1" t="str">
        <f ca="1">IFERROR(__xludf.DUMMYFUNCTION("UNIQUE ('Черкаська'!C75)"),"")</f>
        <v/>
      </c>
      <c r="AH76" s="9"/>
      <c r="AI76" s="9"/>
      <c r="AJ76" s="9"/>
    </row>
    <row r="77" spans="1:3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1" t="str">
        <f ca="1">IFERROR(__xludf.DUMMYFUNCTION("UNIQUE ('Черкаська'!C76)"),"ФГ ""Чародій""")</f>
        <v>ФГ "Чародій"</v>
      </c>
      <c r="AH77" s="9"/>
      <c r="AI77" s="9"/>
      <c r="AJ77" s="9"/>
    </row>
    <row r="78" spans="1:3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11" t="str">
        <f ca="1">IFERROR(__xludf.DUMMYFUNCTION("UNIQUE ('Черкаська'!C77)"),"")</f>
        <v/>
      </c>
      <c r="AH78" s="9"/>
      <c r="AI78" s="9"/>
      <c r="AJ78" s="9"/>
    </row>
    <row r="79" spans="1:3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11" t="str">
        <f ca="1">IFERROR(__xludf.DUMMYFUNCTION("UNIQUE ('Черкаська'!C78)"),"ПрАТ ""Миронівська птахофабрика""")</f>
        <v>ПрАТ "Миронівська птахофабрика"</v>
      </c>
      <c r="AH79" s="9"/>
      <c r="AI79" s="9"/>
      <c r="AJ79" s="9"/>
    </row>
    <row r="80" spans="1:3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1" t="str">
        <f ca="1">IFERROR(__xludf.DUMMYFUNCTION("UNIQUE ('Черкаська'!C79)"),"")</f>
        <v/>
      </c>
      <c r="AH80" s="9"/>
      <c r="AI80" s="9"/>
      <c r="AJ80" s="9"/>
    </row>
    <row r="81" spans="1:3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1" t="str">
        <f ca="1">IFERROR(__xludf.DUMMYFUNCTION("UNIQUE ('Черкаська'!C80)"),"")</f>
        <v/>
      </c>
      <c r="AH81" s="9"/>
      <c r="AI81" s="9"/>
      <c r="AJ81" s="9"/>
    </row>
    <row r="82" spans="1:3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1" t="str">
        <f ca="1">IFERROR(__xludf.DUMMYFUNCTION("UNIQUE ('Черкаська'!C81)"),"")</f>
        <v/>
      </c>
      <c r="AH82" s="9"/>
      <c r="AI82" s="9"/>
      <c r="AJ82" s="9"/>
    </row>
    <row r="83" spans="1:3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1" t="str">
        <f ca="1">IFERROR(__xludf.DUMMYFUNCTION("UNIQUE ('Черкаська'!C82)"),"")</f>
        <v/>
      </c>
      <c r="AH83" s="9"/>
      <c r="AI83" s="9"/>
      <c r="AJ83" s="9"/>
    </row>
    <row r="84" spans="1:3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11" t="str">
        <f ca="1">IFERROR(__xludf.DUMMYFUNCTION("UNIQUE ('Черкаська'!C83)"),"")</f>
        <v/>
      </c>
      <c r="AH84" s="9"/>
      <c r="AI84" s="9"/>
      <c r="AJ84" s="9"/>
    </row>
    <row r="85" spans="1:3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1" t="str">
        <f ca="1">IFERROR(__xludf.DUMMYFUNCTION("UNIQUE ('Черкаська'!C84)"),"")</f>
        <v/>
      </c>
      <c r="AH85" s="9"/>
      <c r="AI85" s="9"/>
      <c r="AJ85" s="9"/>
    </row>
    <row r="86" spans="1:3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11" t="str">
        <f ca="1">IFERROR(__xludf.DUMMYFUNCTION("UNIQUE ('Черкаська'!C85)"),"")</f>
        <v/>
      </c>
      <c r="AH86" s="9"/>
      <c r="AI86" s="9"/>
      <c r="AJ86" s="9"/>
    </row>
    <row r="87" spans="1:3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1" t="str">
        <f ca="1">IFERROR(__xludf.DUMMYFUNCTION("UNIQUE ('Черкаська'!C86)"),"")</f>
        <v/>
      </c>
      <c r="AH87" s="9"/>
      <c r="AI87" s="9"/>
      <c r="AJ87" s="9"/>
    </row>
    <row r="88" spans="1:3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11" t="str">
        <f ca="1">IFERROR(__xludf.DUMMYFUNCTION("UNIQUE ('Черкаська'!C87)"),"")</f>
        <v/>
      </c>
      <c r="AH88" s="9"/>
      <c r="AI88" s="9"/>
      <c r="AJ88" s="9"/>
    </row>
    <row r="89" spans="1:3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1" t="str">
        <f ca="1">IFERROR(__xludf.DUMMYFUNCTION("UNIQUE ('Черкаська'!C88)"),"")</f>
        <v/>
      </c>
      <c r="AH89" s="9"/>
      <c r="AI89" s="9"/>
      <c r="AJ89" s="9"/>
    </row>
    <row r="90" spans="1:3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1" t="str">
        <f ca="1">IFERROR(__xludf.DUMMYFUNCTION("UNIQUE ('Черкаська'!C89)"),"")</f>
        <v/>
      </c>
      <c r="AH90" s="9"/>
      <c r="AI90" s="9"/>
      <c r="AJ90" s="9"/>
    </row>
    <row r="91" spans="1:3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1" t="str">
        <f ca="1">IFERROR(__xludf.DUMMYFUNCTION("UNIQUE ('Черкаська'!C90)"),"")</f>
        <v/>
      </c>
      <c r="AH91" s="9"/>
      <c r="AI91" s="9"/>
      <c r="AJ91" s="9"/>
    </row>
    <row r="92" spans="1:3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1" t="str">
        <f ca="1">IFERROR(__xludf.DUMMYFUNCTION("UNIQUE ('Черкаська'!C91)"),"")</f>
        <v/>
      </c>
      <c r="AH92" s="9"/>
      <c r="AI92" s="9"/>
      <c r="AJ92" s="9"/>
    </row>
    <row r="93" spans="1:3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11" t="str">
        <f ca="1">IFERROR(__xludf.DUMMYFUNCTION("UNIQUE ('Черкаська'!C92)"),"")</f>
        <v/>
      </c>
      <c r="AH93" s="9"/>
      <c r="AI93" s="9"/>
      <c r="AJ93" s="9"/>
    </row>
    <row r="94" spans="1:3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11" t="str">
        <f ca="1">IFERROR(__xludf.DUMMYFUNCTION("UNIQUE ('Черкаська'!C93)"),"")</f>
        <v/>
      </c>
      <c r="AH94" s="9"/>
      <c r="AI94" s="9"/>
      <c r="AJ94" s="9"/>
    </row>
    <row r="95" spans="1:3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1" t="str">
        <f ca="1">IFERROR(__xludf.DUMMYFUNCTION("UNIQUE ('Черкаська'!C94)"),"")</f>
        <v/>
      </c>
      <c r="AH95" s="9"/>
      <c r="AI95" s="9"/>
      <c r="AJ95" s="9"/>
    </row>
    <row r="96" spans="1:3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11" t="str">
        <f ca="1">IFERROR(__xludf.DUMMYFUNCTION("UNIQUE ('Черкаська'!C95)"),"")</f>
        <v/>
      </c>
      <c r="AH96" s="9"/>
      <c r="AI96" s="9"/>
      <c r="AJ96" s="9"/>
    </row>
    <row r="97" spans="1:3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11" t="str">
        <f ca="1">IFERROR(__xludf.DUMMYFUNCTION("UNIQUE ('Черкаська'!C96)"),"")</f>
        <v/>
      </c>
      <c r="AH97" s="9"/>
      <c r="AI97" s="9"/>
      <c r="AJ97" s="9"/>
    </row>
    <row r="98" spans="1:3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11" t="str">
        <f ca="1">IFERROR(__xludf.DUMMYFUNCTION("UNIQUE ('Черкаська'!C97)"),"")</f>
        <v/>
      </c>
      <c r="AH98" s="9"/>
      <c r="AI98" s="9"/>
      <c r="AJ98" s="9"/>
    </row>
    <row r="99" spans="1:3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11" t="str">
        <f ca="1">IFERROR(__xludf.DUMMYFUNCTION("UNIQUE ('Черкаська'!C98)"),"")</f>
        <v/>
      </c>
      <c r="AH99" s="9"/>
      <c r="AI99" s="9"/>
      <c r="AJ99" s="9"/>
    </row>
    <row r="100" spans="1:3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11" t="str">
        <f ca="1">IFERROR(__xludf.DUMMYFUNCTION("UNIQUE ('Черкаська'!C99)"),"")</f>
        <v/>
      </c>
      <c r="AH100" s="9"/>
      <c r="AI100" s="9"/>
      <c r="AJ100" s="9"/>
    </row>
    <row r="101" spans="1:3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11" t="str">
        <f ca="1">IFERROR(__xludf.DUMMYFUNCTION("UNIQUE ('Черкаська'!C100)"),"")</f>
        <v/>
      </c>
      <c r="AH101" s="9"/>
      <c r="AI101" s="9"/>
      <c r="AJ101" s="9"/>
    </row>
    <row r="102" spans="1:3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11" t="str">
        <f ca="1">IFERROR(__xludf.DUMMYFUNCTION("UNIQUE ('Черкаська'!C101)"),"")</f>
        <v/>
      </c>
      <c r="AH102" s="9"/>
      <c r="AI102" s="9"/>
      <c r="AJ102" s="9"/>
    </row>
    <row r="103" spans="1:3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11" t="str">
        <f ca="1">IFERROR(__xludf.DUMMYFUNCTION("UNIQUE ('Черкаська'!C102)"),"")</f>
        <v/>
      </c>
      <c r="AH103" s="9"/>
      <c r="AI103" s="9"/>
      <c r="AJ103" s="9"/>
    </row>
    <row r="104" spans="1:3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11" t="str">
        <f ca="1">IFERROR(__xludf.DUMMYFUNCTION("UNIQUE ('Черкаська'!C103)"),"")</f>
        <v/>
      </c>
      <c r="AH104" s="9"/>
      <c r="AI104" s="9"/>
      <c r="AJ104" s="9"/>
    </row>
    <row r="105" spans="1:3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11" t="str">
        <f ca="1">IFERROR(__xludf.DUMMYFUNCTION("UNIQUE ('Черкаська'!C104)"),"")</f>
        <v/>
      </c>
      <c r="AH105" s="9"/>
      <c r="AI105" s="9"/>
      <c r="AJ105" s="9"/>
    </row>
    <row r="106" spans="1:3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11" t="str">
        <f ca="1">IFERROR(__xludf.DUMMYFUNCTION("UNIQUE ('Черкаська'!C105)"),"")</f>
        <v/>
      </c>
      <c r="AH106" s="9"/>
      <c r="AI106" s="9"/>
      <c r="AJ106" s="9"/>
    </row>
    <row r="107" spans="1:3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11" t="str">
        <f ca="1">IFERROR(__xludf.DUMMYFUNCTION("UNIQUE ('Черкаська'!C106)"),"")</f>
        <v/>
      </c>
      <c r="AH107" s="9"/>
      <c r="AI107" s="9"/>
      <c r="AJ107" s="9"/>
    </row>
    <row r="108" spans="1:3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11" t="str">
        <f ca="1">IFERROR(__xludf.DUMMYFUNCTION("UNIQUE ('Черкаська'!C107)"),"")</f>
        <v/>
      </c>
      <c r="AH108" s="9"/>
      <c r="AI108" s="9"/>
      <c r="AJ108" s="9"/>
    </row>
    <row r="109" spans="1:3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11" t="str">
        <f ca="1">IFERROR(__xludf.DUMMYFUNCTION("UNIQUE ('Черкаська'!C108)"),"")</f>
        <v/>
      </c>
      <c r="AH109" s="9"/>
      <c r="AI109" s="9"/>
      <c r="AJ109" s="9"/>
    </row>
    <row r="110" spans="1:3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11" t="str">
        <f ca="1">IFERROR(__xludf.DUMMYFUNCTION("UNIQUE ('Черкаська'!C109)"),"")</f>
        <v/>
      </c>
      <c r="AH110" s="9"/>
      <c r="AI110" s="9"/>
      <c r="AJ110" s="9"/>
    </row>
    <row r="111" spans="1:3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11" t="str">
        <f ca="1">IFERROR(__xludf.DUMMYFUNCTION("UNIQUE ('Черкаська'!C110)"),"")</f>
        <v/>
      </c>
      <c r="AH111" s="9"/>
      <c r="AI111" s="9"/>
      <c r="AJ111" s="9"/>
    </row>
    <row r="112" spans="1:3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11" t="str">
        <f ca="1">IFERROR(__xludf.DUMMYFUNCTION("UNIQUE ('Черкаська'!C111)"),"")</f>
        <v/>
      </c>
      <c r="AH112" s="9"/>
      <c r="AI112" s="9"/>
      <c r="AJ112" s="9"/>
    </row>
    <row r="113" spans="1:3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11" t="str">
        <f ca="1">IFERROR(__xludf.DUMMYFUNCTION("UNIQUE ('Черкаська'!C112)"),"")</f>
        <v/>
      </c>
      <c r="AH113" s="9"/>
      <c r="AI113" s="9"/>
      <c r="AJ113" s="9"/>
    </row>
    <row r="114" spans="1:3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1" t="str">
        <f ca="1">IFERROR(__xludf.DUMMYFUNCTION("UNIQUE ('Черкаська'!C113)"),"")</f>
        <v/>
      </c>
      <c r="AH114" s="9"/>
      <c r="AI114" s="9"/>
      <c r="AJ114" s="9"/>
    </row>
    <row r="115" spans="1:3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11" t="str">
        <f ca="1">IFERROR(__xludf.DUMMYFUNCTION("UNIQUE ('Черкаська'!C114)"),"")</f>
        <v/>
      </c>
      <c r="AH115" s="9"/>
      <c r="AI115" s="9"/>
      <c r="AJ115" s="9"/>
    </row>
    <row r="116" spans="1:3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11" t="str">
        <f ca="1">IFERROR(__xludf.DUMMYFUNCTION("UNIQUE ('Черкаська'!C115)"),"")</f>
        <v/>
      </c>
      <c r="AH116" s="9"/>
      <c r="AI116" s="9"/>
      <c r="AJ116" s="9"/>
    </row>
    <row r="117" spans="1:3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11" t="str">
        <f ca="1">IFERROR(__xludf.DUMMYFUNCTION("UNIQUE ('Черкаська'!C116)"),"")</f>
        <v/>
      </c>
      <c r="AH117" s="9"/>
      <c r="AI117" s="9"/>
      <c r="AJ117" s="9"/>
    </row>
    <row r="118" spans="1:3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11" t="str">
        <f ca="1">IFERROR(__xludf.DUMMYFUNCTION("UNIQUE ('Черкаська'!C117)"),"")</f>
        <v/>
      </c>
      <c r="AH118" s="9"/>
      <c r="AI118" s="9"/>
      <c r="AJ118" s="9"/>
    </row>
    <row r="119" spans="1:3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1" t="str">
        <f ca="1">IFERROR(__xludf.DUMMYFUNCTION("UNIQUE ('Черкаська'!C118)"),"")</f>
        <v/>
      </c>
      <c r="AH119" s="9"/>
      <c r="AI119" s="9"/>
      <c r="AJ119" s="9"/>
    </row>
    <row r="120" spans="1:3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11" t="str">
        <f ca="1">IFERROR(__xludf.DUMMYFUNCTION("UNIQUE ('Черкаська'!C119)"),"")</f>
        <v/>
      </c>
      <c r="AH120" s="9"/>
      <c r="AI120" s="9"/>
      <c r="AJ120" s="9"/>
    </row>
    <row r="121" spans="1:3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11" t="str">
        <f ca="1">IFERROR(__xludf.DUMMYFUNCTION("UNIQUE ('Черкаська'!C120)"),"")</f>
        <v/>
      </c>
      <c r="AH121" s="9"/>
      <c r="AI121" s="9"/>
      <c r="AJ121" s="9"/>
    </row>
    <row r="122" spans="1:3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11" t="str">
        <f ca="1">IFERROR(__xludf.DUMMYFUNCTION("UNIQUE ('Черкаська'!C121)"),"")</f>
        <v/>
      </c>
      <c r="AH122" s="9"/>
      <c r="AI122" s="9"/>
      <c r="AJ122" s="9"/>
    </row>
    <row r="123" spans="1:3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11" t="str">
        <f ca="1">IFERROR(__xludf.DUMMYFUNCTION("UNIQUE ('Черкаська'!C122)"),"")</f>
        <v/>
      </c>
      <c r="AH123" s="9"/>
      <c r="AI123" s="9"/>
      <c r="AJ123" s="9"/>
    </row>
    <row r="124" spans="1:3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11" t="str">
        <f ca="1">IFERROR(__xludf.DUMMYFUNCTION("UNIQUE ('Черкаська'!C123)"),"")</f>
        <v/>
      </c>
      <c r="AH124" s="9"/>
      <c r="AI124" s="9"/>
      <c r="AJ124" s="9"/>
    </row>
    <row r="125" spans="1:3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11" t="str">
        <f ca="1">IFERROR(__xludf.DUMMYFUNCTION("UNIQUE ('Черкаська'!C124)"),"")</f>
        <v/>
      </c>
      <c r="AH125" s="9"/>
      <c r="AI125" s="9"/>
      <c r="AJ125" s="9"/>
    </row>
    <row r="126" spans="1:3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11" t="str">
        <f ca="1">IFERROR(__xludf.DUMMYFUNCTION("UNIQUE ('Черкаська'!C125)"),"")</f>
        <v/>
      </c>
      <c r="AH126" s="9"/>
      <c r="AI126" s="9"/>
      <c r="AJ126" s="9"/>
    </row>
    <row r="127" spans="1:3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11" t="str">
        <f ca="1">IFERROR(__xludf.DUMMYFUNCTION("UNIQUE ('Черкаська'!C126)"),"")</f>
        <v/>
      </c>
      <c r="AH127" s="9"/>
      <c r="AI127" s="9"/>
      <c r="AJ127" s="9"/>
    </row>
    <row r="128" spans="1:3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1" t="str">
        <f ca="1">IFERROR(__xludf.DUMMYFUNCTION("UNIQUE ('Черкаська'!C127)"),"")</f>
        <v/>
      </c>
      <c r="AH128" s="9"/>
      <c r="AI128" s="9"/>
      <c r="AJ128" s="9"/>
    </row>
    <row r="129" spans="1:3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1" t="str">
        <f ca="1">IFERROR(__xludf.DUMMYFUNCTION("UNIQUE ('Черкаська'!C128)"),"")</f>
        <v/>
      </c>
      <c r="AH129" s="9"/>
      <c r="AI129" s="9"/>
      <c r="AJ129" s="9"/>
    </row>
    <row r="130" spans="1:3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11" t="str">
        <f ca="1">IFERROR(__xludf.DUMMYFUNCTION("UNIQUE ('Черкаська'!C129)"),"")</f>
        <v/>
      </c>
      <c r="AH130" s="9"/>
      <c r="AI130" s="9"/>
      <c r="AJ130" s="9"/>
    </row>
    <row r="131" spans="1:3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11" t="str">
        <f ca="1">IFERROR(__xludf.DUMMYFUNCTION("UNIQUE ('Черкаська'!C130)"),"")</f>
        <v/>
      </c>
      <c r="AH131" s="9"/>
      <c r="AI131" s="9"/>
      <c r="AJ131" s="9"/>
    </row>
    <row r="132" spans="1:3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11" t="str">
        <f ca="1">IFERROR(__xludf.DUMMYFUNCTION("UNIQUE ('Черкаська'!C131)"),"")</f>
        <v/>
      </c>
      <c r="AH132" s="9"/>
      <c r="AI132" s="9"/>
      <c r="AJ132" s="9"/>
    </row>
    <row r="133" spans="1:3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1" t="str">
        <f ca="1">IFERROR(__xludf.DUMMYFUNCTION("UNIQUE ('Черкаська'!C132)"),"")</f>
        <v/>
      </c>
      <c r="AH133" s="9"/>
      <c r="AI133" s="9"/>
      <c r="AJ133" s="9"/>
    </row>
    <row r="134" spans="1:3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1" t="str">
        <f ca="1">IFERROR(__xludf.DUMMYFUNCTION("UNIQUE ('Черкаська'!C133)"),"")</f>
        <v/>
      </c>
      <c r="AH134" s="9"/>
      <c r="AI134" s="9"/>
      <c r="AJ134" s="9"/>
    </row>
    <row r="135" spans="1:3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1" t="str">
        <f ca="1">IFERROR(__xludf.DUMMYFUNCTION("UNIQUE ('Черкаська'!C134)"),"")</f>
        <v/>
      </c>
      <c r="AH135" s="9"/>
      <c r="AI135" s="9"/>
      <c r="AJ135" s="9"/>
    </row>
    <row r="136" spans="1: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1" t="str">
        <f ca="1">IFERROR(__xludf.DUMMYFUNCTION("UNIQUE ('Черкаська'!C135)"),"")</f>
        <v/>
      </c>
      <c r="AH136" s="9"/>
      <c r="AI136" s="9"/>
      <c r="AJ136" s="9"/>
    </row>
    <row r="137" spans="1:3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1" t="str">
        <f ca="1">IFERROR(__xludf.DUMMYFUNCTION("UNIQUE ('Черкаська'!C136)"),"")</f>
        <v/>
      </c>
      <c r="AH137" s="9"/>
      <c r="AI137" s="9"/>
      <c r="AJ137" s="9"/>
    </row>
    <row r="138" spans="1:3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1" t="str">
        <f ca="1">IFERROR(__xludf.DUMMYFUNCTION("UNIQUE ('Черкаська'!C137)"),"")</f>
        <v/>
      </c>
      <c r="AH138" s="9"/>
      <c r="AI138" s="9"/>
      <c r="AJ138" s="9"/>
    </row>
    <row r="139" spans="1:3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1" t="str">
        <f ca="1">IFERROR(__xludf.DUMMYFUNCTION("UNIQUE ('Черкаська'!C138)"),"")</f>
        <v/>
      </c>
      <c r="AH139" s="9"/>
      <c r="AI139" s="9"/>
      <c r="AJ139" s="9"/>
    </row>
    <row r="140" spans="1:3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1" t="str">
        <f ca="1">IFERROR(__xludf.DUMMYFUNCTION("UNIQUE ('Черкаська'!C139)"),"")</f>
        <v/>
      </c>
      <c r="AH140" s="9"/>
      <c r="AI140" s="9"/>
      <c r="AJ140" s="9"/>
    </row>
    <row r="141" spans="1:3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1" t="str">
        <f ca="1">IFERROR(__xludf.DUMMYFUNCTION("UNIQUE ('Черкаська'!C140)"),"")</f>
        <v/>
      </c>
      <c r="AH141" s="9"/>
      <c r="AI141" s="9"/>
      <c r="AJ141" s="9"/>
    </row>
    <row r="142" spans="1:3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1" t="str">
        <f ca="1">IFERROR(__xludf.DUMMYFUNCTION("UNIQUE ('Черкаська'!C141)"),"")</f>
        <v/>
      </c>
      <c r="AH142" s="9"/>
      <c r="AI142" s="9"/>
      <c r="AJ142" s="9"/>
    </row>
    <row r="143" spans="1:3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1" t="str">
        <f ca="1">IFERROR(__xludf.DUMMYFUNCTION("UNIQUE ('Черкаська'!C142)"),"")</f>
        <v/>
      </c>
      <c r="AH143" s="9"/>
      <c r="AI143" s="9"/>
      <c r="AJ143" s="9"/>
    </row>
    <row r="144" spans="1:3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1" t="str">
        <f ca="1">IFERROR(__xludf.DUMMYFUNCTION("UNIQUE ('Черкаська'!C143)"),"")</f>
        <v/>
      </c>
      <c r="AH144" s="9"/>
      <c r="AI144" s="9"/>
      <c r="AJ144" s="9"/>
    </row>
    <row r="145" spans="1:3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1" t="str">
        <f ca="1">IFERROR(__xludf.DUMMYFUNCTION("UNIQUE ('Черкаська'!C144)"),"")</f>
        <v/>
      </c>
      <c r="AH145" s="9"/>
      <c r="AI145" s="9"/>
      <c r="AJ145" s="9"/>
    </row>
    <row r="146" spans="1:3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1" t="str">
        <f ca="1">IFERROR(__xludf.DUMMYFUNCTION("UNIQUE ('Черкаська'!C145)"),"")</f>
        <v/>
      </c>
      <c r="AH146" s="9"/>
      <c r="AI146" s="9"/>
      <c r="AJ146" s="9"/>
    </row>
    <row r="147" spans="1:3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1" t="str">
        <f ca="1">IFERROR(__xludf.DUMMYFUNCTION("UNIQUE ('Черкаська'!C146)"),"")</f>
        <v/>
      </c>
      <c r="AH147" s="9"/>
      <c r="AI147" s="9"/>
      <c r="AJ147" s="9"/>
    </row>
    <row r="148" spans="1:3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1" t="str">
        <f ca="1">IFERROR(__xludf.DUMMYFUNCTION("UNIQUE ('Черкаська'!C147)"),"")</f>
        <v/>
      </c>
      <c r="AH148" s="9"/>
      <c r="AI148" s="9"/>
      <c r="AJ148" s="9"/>
    </row>
    <row r="149" spans="1:3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1" t="str">
        <f ca="1">IFERROR(__xludf.DUMMYFUNCTION("UNIQUE ('Черкаська'!C148)"),"")</f>
        <v/>
      </c>
      <c r="AH149" s="9"/>
      <c r="AI149" s="9"/>
      <c r="AJ149" s="9"/>
    </row>
    <row r="150" spans="1:3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1" t="str">
        <f ca="1">IFERROR(__xludf.DUMMYFUNCTION("UNIQUE ('Черкаська'!C149)"),"")</f>
        <v/>
      </c>
      <c r="AH150" s="9"/>
      <c r="AI150" s="9"/>
      <c r="AJ150" s="9"/>
    </row>
    <row r="151" spans="1:3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1" t="str">
        <f ca="1">IFERROR(__xludf.DUMMYFUNCTION("UNIQUE ('Черкаська'!C150)"),"")</f>
        <v/>
      </c>
      <c r="AH151" s="9"/>
      <c r="AI151" s="9"/>
      <c r="AJ151" s="9"/>
    </row>
    <row r="152" spans="1:3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1" t="str">
        <f ca="1">IFERROR(__xludf.DUMMYFUNCTION("UNIQUE ('Черкаська'!C151)"),"")</f>
        <v/>
      </c>
      <c r="AH152" s="9"/>
      <c r="AI152" s="9"/>
      <c r="AJ152" s="9"/>
    </row>
    <row r="153" spans="1:3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11" t="str">
        <f ca="1">IFERROR(__xludf.DUMMYFUNCTION("UNIQUE ('Черкаська'!C152)"),"")</f>
        <v/>
      </c>
      <c r="AH153" s="9"/>
      <c r="AI153" s="9"/>
      <c r="AJ153" s="9"/>
    </row>
    <row r="154" spans="1:3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1" t="str">
        <f ca="1">IFERROR(__xludf.DUMMYFUNCTION("UNIQUE ('Черкаська'!C153)"),"")</f>
        <v/>
      </c>
      <c r="AH154" s="9"/>
      <c r="AI154" s="9"/>
      <c r="AJ154" s="9"/>
    </row>
    <row r="155" spans="1:3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1" t="str">
        <f ca="1">IFERROR(__xludf.DUMMYFUNCTION("UNIQUE ('Черкаська'!C154)"),"")</f>
        <v/>
      </c>
      <c r="AH155" s="9"/>
      <c r="AI155" s="9"/>
      <c r="AJ155" s="9"/>
    </row>
    <row r="156" spans="1:3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11" t="str">
        <f ca="1">IFERROR(__xludf.DUMMYFUNCTION("UNIQUE ('Черкаська'!C155)"),"")</f>
        <v/>
      </c>
      <c r="AH156" s="9"/>
      <c r="AI156" s="9"/>
      <c r="AJ156" s="9"/>
    </row>
    <row r="157" spans="1:3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1:3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1:3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1:3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1:3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1:3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1:3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1:3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1:3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1:3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1:3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1:3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3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1:3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1:3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1:3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1:3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1:3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1:3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1:3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1:3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1:3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1:3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1:3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1:3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1:3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1:3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1:3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1:3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1:3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1:3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1:3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1:3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1:3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1:3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1:3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1:3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1: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1:3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1:3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1:3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1:3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1:3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1:3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1:3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1:3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1:3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1:3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1:3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1:3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1:3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1:3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1:3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1:3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1:3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1:3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1:3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1:3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1:3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1:3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1:3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1:3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1:3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1:3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1:3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1:3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1:3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1:3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1:3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1:3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1:3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1:3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1:3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1:3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1:3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1:3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1:3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1:3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1:3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1:3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1:3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1:3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1:3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1:3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1:3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1:3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1:3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1:3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1:3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1:3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1:3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1:3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1:3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1:3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1:3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1:3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1:3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1:3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1:3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1:3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1:3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1:3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1:3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1:3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1:3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1:3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1:3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1:3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1:3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1:3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1:3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1:3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1:3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1:3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1:3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1:3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1:3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1:3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1:3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1:3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1:3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1:3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1:3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1:3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1:3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1:3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1:3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1:3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1:3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1:3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1:3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1:3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1:3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1:3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1:3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1:3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1: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1:3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1:3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1:3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1:3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1:3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1:3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1:3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1:3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1:3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1:3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1:3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1:3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1:3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1:3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1:3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1:3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1:3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1:3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1:3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1:3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1:3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1:3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1:3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1:3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1:3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1:3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1:3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1:3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1:3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1:3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1:3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1:3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1:3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1:3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1:3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1:3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1:3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1:3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1:3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1:3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1:3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1:3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1:3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1:3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1:3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1:3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1:3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1:3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1:3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1:3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1:3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1:3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1:3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1:3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1:3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1:3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1:3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1:3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1:3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1:3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1:3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1:3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1:3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1:3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1:3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1:3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1:3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1:3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1:3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1:3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1:3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1:3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1:3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1:3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1:3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1:3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1:3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1:3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1:3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1:3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1:3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1:3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1:3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1:3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1:3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1:3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1:3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1:3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1:3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1:3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1:3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1:3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1:3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1:3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1:3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1:3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1:3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1:3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1:3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1: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1:3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1:3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3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1:3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3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1:3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3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1:3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3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1:3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3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1:3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1:3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1:3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1:3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1:3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1:3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1:3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1:3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1:3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1:3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1:3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1:3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1:3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1:3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1:3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1:3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1:3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1:3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1:3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1:3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1:3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1:3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1:3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1:3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1:3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1:3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1:3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1:3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1:3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1:3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1:3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1:3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1:3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1:3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1:3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1:3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1:3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1:3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1:3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1:3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1:3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1:3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1:3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1:3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1:3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1:3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1:3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1:3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1:3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1:3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1:3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1:3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1:3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1:3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1:3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1:3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1:3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1:3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1: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1:3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1:3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1:3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1:3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1:3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1:3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1:3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1:3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1:3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1:3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1:3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1:3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1:3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1:3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1:3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1:3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1:3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1:3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1:3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1:3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1:3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1:3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1:3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1:3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1:3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1:3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1:3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1:3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1:3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1:3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1:3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1:3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1:3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1:3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1:3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1:3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1:3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1:3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1:3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1:3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1:3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1:3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1:3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1:3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1:3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1:3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1:3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1:3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1:3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1:3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1:3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1:3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1:3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1:3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1:3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1:3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1:3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1:3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1:3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1:3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1:3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1:3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1:3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1:3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1:3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1:3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1:3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1:3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1:3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1:3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1:3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1:3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1:3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1:3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1:3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1:3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1:3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1:3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1:3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1:3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1:3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1:3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1:3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1:3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1:3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1:3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1:3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1:3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1:3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1:3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1:3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1:3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1:3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1:3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1:3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1:3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1:3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1:3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1:3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1: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1:3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1:3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1:3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1:3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1:3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1:3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1:3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1:3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1:3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1:3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1:3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1:3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1:3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1:3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1:3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1:3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1:3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1:3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1:3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1:3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1:3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1:3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1:3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1:3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1:3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1:3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1:3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1:3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1:3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1:3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1:3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1:3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1:3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1:3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1:3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1:3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1:3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1:3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1:3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1:3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1:3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1:3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1:3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1:3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1:3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1:3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1:3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1:3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1:3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1:3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1:3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1:3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1:3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1:3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1:3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1:3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1:3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1:3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1:3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1:3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1:3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1:3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1:3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1:3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1:3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1:3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1:3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1:3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1:3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1:3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1:3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1:3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1:3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1:3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1:3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1:3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1:3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1:3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1:3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1:3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1:3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1:3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1:3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1:3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1:3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1:3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1:3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1:3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1:3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1:3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1:3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1:3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1:3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1:3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1:3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1:3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1:3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1:3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1:3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1: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1:3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1:3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1:3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1:3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1:3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1:3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1:3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1:3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1:3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1:3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1:3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1:3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1:3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1:3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1:3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1:3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1:3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1:3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1:3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1:3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1:3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1:3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1:3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1:3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1:3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1:3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1:3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1:3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1:3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1:3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1:3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1:3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1:3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1:3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1:3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1:3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1:3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1:3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1:3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1:3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1:3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1:3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1:3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1:3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1:3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1:3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1:3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1:3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1:3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1:3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1:3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1:3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1:3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1:3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1:3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1:3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1:3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1:3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1:3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1:3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1:3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1:3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1:3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1:3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1:3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1:3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1:3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1:3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1:3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1:3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1:3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1:3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1:3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1:3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1:3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1:3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1:3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1:3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1:3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1:3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1:3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1:3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1:3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1:3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1:3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1:3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1:3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1:3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1:3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1:3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1:3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1:3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1:3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1:3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1:3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1:3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1:3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1:3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1:3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1: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1:3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1:3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1:3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1:3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1:3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1:3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1:3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1:3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1:3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1:3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1:3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1:3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1:3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1:3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1:3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1:3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1:3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1:3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1:3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1:3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1:3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1:3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1:3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1:3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1:3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1:3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1:3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1:3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1:3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1:3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1:3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1:3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1:3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1:3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1:3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1:3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1:3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1:3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1:3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1:3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1:3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1:3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1:3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1:3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1:3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1:3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1:3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1:3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1:3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1:3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1:3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1:3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1:3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1:3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1:3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1:3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1:3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1:3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1:3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1:3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1:3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1:3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1:3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1:3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1:3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1:3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1:3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1:3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1:3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1:3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1:3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1:3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1:3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1:3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1:3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1:3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1:3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1:3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1:3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1:3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1:3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1:3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1:3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1:3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1:3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1:3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1:3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1:3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1:3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1:3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1:3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1:3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1:3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1:3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1:3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1:3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1:3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1:3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1:3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1: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1:3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1:3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1:3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1:3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1:3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1:3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1:3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1:3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1:3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1:3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1:3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1:3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1:3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1:3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1:3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1:3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1:3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1:3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1:3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1:3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1:3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1:3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1:3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1:3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1:3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1:3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1:3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1:3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1:3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1:3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1:3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1:3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1:3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1:3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1:3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1:3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1:3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1:3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1:3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1:3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1:3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1:3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1:3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1:3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1:3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1:3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1:3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1:3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1:3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1:3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1:3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1:3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1:3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1:3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1:3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1:3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1:3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1:3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workbookViewId="0"/>
  </sheetViews>
  <sheetFormatPr defaultColWidth="14.42578125" defaultRowHeight="15.75" customHeight="1"/>
  <sheetData>
    <row r="1" spans="1:6" ht="15.75" customHeight="1">
      <c r="A1" s="1"/>
    </row>
    <row r="2" spans="1:6" ht="15.75" customHeight="1">
      <c r="B2" s="3"/>
      <c r="C2" s="4"/>
      <c r="D2" s="3"/>
      <c r="E2" s="3"/>
      <c r="F2" s="4"/>
    </row>
    <row r="3" spans="1:6" ht="15.75" customHeight="1">
      <c r="B3" s="3"/>
      <c r="C3" s="3"/>
      <c r="D3" s="3"/>
      <c r="E3" s="3"/>
      <c r="F3" s="4"/>
    </row>
    <row r="4" spans="1:6" ht="15.75" customHeight="1">
      <c r="A4" s="6" t="s">
        <v>25</v>
      </c>
      <c r="B4" s="3"/>
      <c r="C4" s="4" t="s">
        <v>26</v>
      </c>
      <c r="D4" s="3"/>
      <c r="E4" s="4" t="s">
        <v>27</v>
      </c>
      <c r="F4" s="4" t="s">
        <v>28</v>
      </c>
    </row>
    <row r="5" spans="1:6" ht="15.75" customHeight="1">
      <c r="A5" s="7" t="s">
        <v>29</v>
      </c>
      <c r="B5" s="15" t="s">
        <v>30</v>
      </c>
      <c r="C5" s="16" t="str">
        <f ca="1">IFERROR(__xludf.DUMMYFUNCTION("UNIQUE (A5:B15)"),"Яблоко")</f>
        <v>Яблоко</v>
      </c>
      <c r="D5" s="18" t="str">
        <f ca="1">IFERROR(__xludf.DUMMYFUNCTION("""COMPUTED_VALUE"""),"Груша")</f>
        <v>Груша</v>
      </c>
      <c r="E5" s="1" t="str">
        <f t="shared" ref="E5:E13" ca="1" si="0">C5&amp;D5</f>
        <v>ЯблокоГруша</v>
      </c>
      <c r="F5" s="1" t="e">
        <f>COUNTA (C5:C15)</f>
        <v>#NAME?</v>
      </c>
    </row>
    <row r="6" spans="1:6" ht="15.75" customHeight="1">
      <c r="A6" s="7" t="s">
        <v>29</v>
      </c>
      <c r="B6" s="15" t="s">
        <v>30</v>
      </c>
      <c r="C6" s="19" t="str">
        <f ca="1">IFERROR(__xludf.DUMMYFUNCTION("""COMPUTED_VALUE"""),"Груша")</f>
        <v>Груша</v>
      </c>
      <c r="D6" s="18" t="str">
        <f ca="1">IFERROR(__xludf.DUMMYFUNCTION("""COMPUTED_VALUE"""),"Яблоко")</f>
        <v>Яблоко</v>
      </c>
      <c r="E6" s="1" t="str">
        <f t="shared" ca="1" si="0"/>
        <v>ГрушаЯблоко</v>
      </c>
      <c r="F6" s="3"/>
    </row>
    <row r="7" spans="1:6" ht="15.75" customHeight="1">
      <c r="A7" s="7" t="s">
        <v>30</v>
      </c>
      <c r="B7" s="15" t="s">
        <v>29</v>
      </c>
      <c r="C7" s="19" t="str">
        <f ca="1">IFERROR(__xludf.DUMMYFUNCTION("""COMPUTED_VALUE"""),"Абрикос")</f>
        <v>Абрикос</v>
      </c>
      <c r="D7" s="18" t="str">
        <f ca="1">IFERROR(__xludf.DUMMYFUNCTION("""COMPUTED_VALUE"""),"Груша")</f>
        <v>Груша</v>
      </c>
      <c r="E7" s="1" t="str">
        <f t="shared" ca="1" si="0"/>
        <v>АбрикосГруша</v>
      </c>
      <c r="F7" s="3"/>
    </row>
    <row r="8" spans="1:6" ht="15.75" customHeight="1">
      <c r="A8" s="7" t="s">
        <v>31</v>
      </c>
      <c r="B8" s="15" t="s">
        <v>30</v>
      </c>
      <c r="C8" s="19" t="str">
        <f ca="1">IFERROR(__xludf.DUMMYFUNCTION("""COMPUTED_VALUE"""),"Абрикос")</f>
        <v>Абрикос</v>
      </c>
      <c r="D8" s="18" t="str">
        <f ca="1">IFERROR(__xludf.DUMMYFUNCTION("""COMPUTED_VALUE"""),"Яблоко")</f>
        <v>Яблоко</v>
      </c>
      <c r="E8" s="1" t="str">
        <f t="shared" ca="1" si="0"/>
        <v>АбрикосЯблоко</v>
      </c>
      <c r="F8" s="3"/>
    </row>
    <row r="9" spans="1:6" ht="15.75" customHeight="1">
      <c r="A9" s="7" t="s">
        <v>31</v>
      </c>
      <c r="B9" s="15" t="s">
        <v>29</v>
      </c>
      <c r="C9" s="19" t="str">
        <f ca="1">IFERROR(__xludf.DUMMYFUNCTION("""COMPUTED_VALUE"""),"Абрикос")</f>
        <v>Абрикос</v>
      </c>
      <c r="D9" s="18" t="str">
        <f ca="1">IFERROR(__xludf.DUMMYFUNCTION("""COMPUTED_VALUE"""),"Слива")</f>
        <v>Слива</v>
      </c>
      <c r="E9" s="1" t="str">
        <f t="shared" ca="1" si="0"/>
        <v>АбрикосСлива</v>
      </c>
      <c r="F9" s="3"/>
    </row>
    <row r="10" spans="1:6" ht="15.75" customHeight="1">
      <c r="A10" s="7" t="s">
        <v>31</v>
      </c>
      <c r="B10" s="15" t="s">
        <v>32</v>
      </c>
      <c r="C10" s="19" t="str">
        <f ca="1">IFERROR(__xludf.DUMMYFUNCTION("""COMPUTED_VALUE"""),"Абрикос")</f>
        <v>Абрикос</v>
      </c>
      <c r="D10" s="18" t="str">
        <f ca="1">IFERROR(__xludf.DUMMYFUNCTION("""COMPUTED_VALUE"""),"Вишня")</f>
        <v>Вишня</v>
      </c>
      <c r="E10" s="1" t="str">
        <f t="shared" ca="1" si="0"/>
        <v>АбрикосВишня</v>
      </c>
      <c r="F10" s="3"/>
    </row>
    <row r="11" spans="1:6" ht="15.75" customHeight="1">
      <c r="A11" s="7" t="s">
        <v>31</v>
      </c>
      <c r="B11" s="15" t="s">
        <v>33</v>
      </c>
      <c r="C11" s="19" t="str">
        <f ca="1">IFERROR(__xludf.DUMMYFUNCTION("""COMPUTED_VALUE"""),"Абрикос")</f>
        <v>Абрикос</v>
      </c>
      <c r="D11" s="18" t="str">
        <f ca="1">IFERROR(__xludf.DUMMYFUNCTION("""COMPUTED_VALUE"""),"Черешня")</f>
        <v>Черешня</v>
      </c>
      <c r="E11" s="1" t="str">
        <f t="shared" ca="1" si="0"/>
        <v>АбрикосЧерешня</v>
      </c>
      <c r="F11" s="3"/>
    </row>
    <row r="12" spans="1:6" ht="15.75" customHeight="1">
      <c r="A12" s="7" t="s">
        <v>31</v>
      </c>
      <c r="B12" s="15" t="s">
        <v>34</v>
      </c>
      <c r="C12" s="19" t="str">
        <f ca="1">IFERROR(__xludf.DUMMYFUNCTION("""COMPUTED_VALUE"""),"Абрикос")</f>
        <v>Абрикос</v>
      </c>
      <c r="D12" s="18" t="str">
        <f ca="1">IFERROR(__xludf.DUMMYFUNCTION("""COMPUTED_VALUE"""),"Дыня")</f>
        <v>Дыня</v>
      </c>
      <c r="E12" s="1" t="str">
        <f t="shared" ca="1" si="0"/>
        <v>АбрикосДыня</v>
      </c>
      <c r="F12" s="3"/>
    </row>
    <row r="13" spans="1:6" ht="15.75" customHeight="1">
      <c r="A13" s="20" t="s">
        <v>31</v>
      </c>
      <c r="B13" s="21" t="s">
        <v>32</v>
      </c>
      <c r="C13" s="19" t="str">
        <f ca="1">IFERROR(__xludf.DUMMYFUNCTION("""COMPUTED_VALUE"""),"Абрикос")</f>
        <v>Абрикос</v>
      </c>
      <c r="D13" s="18" t="str">
        <f ca="1">IFERROR(__xludf.DUMMYFUNCTION("""COMPUTED_VALUE"""),"Абрикос")</f>
        <v>Абрикос</v>
      </c>
      <c r="E13" s="1" t="str">
        <f t="shared" ca="1" si="0"/>
        <v>АбрикосАбрикос</v>
      </c>
      <c r="F13" s="3"/>
    </row>
    <row r="14" spans="1:6" ht="15.75" customHeight="1">
      <c r="A14" s="7" t="s">
        <v>31</v>
      </c>
      <c r="B14" s="15" t="s">
        <v>35</v>
      </c>
      <c r="C14" s="3"/>
      <c r="D14" s="3"/>
      <c r="E14" s="3"/>
      <c r="F14" s="3"/>
    </row>
    <row r="15" spans="1:6" ht="15.75" customHeight="1">
      <c r="A15" s="20" t="s">
        <v>31</v>
      </c>
      <c r="B15" s="22" t="s">
        <v>31</v>
      </c>
      <c r="C15" s="3"/>
      <c r="D15" s="3"/>
      <c r="E15" s="3"/>
      <c r="F15" s="3"/>
    </row>
    <row r="16" spans="1:6" ht="15.75" customHeight="1">
      <c r="B16" s="3"/>
      <c r="C16" s="3"/>
      <c r="D16" s="3"/>
      <c r="E16" s="3"/>
      <c r="F16" s="3"/>
    </row>
    <row r="17" spans="1:6" ht="15.75" customHeight="1">
      <c r="B17" s="3"/>
      <c r="C17" s="3"/>
      <c r="D17" s="3"/>
      <c r="E17" s="3"/>
      <c r="F17" s="3"/>
    </row>
    <row r="18" spans="1:6" ht="15.75" customHeight="1">
      <c r="B18" s="3"/>
      <c r="C18" s="3"/>
      <c r="D18" s="3"/>
      <c r="E18" s="3"/>
      <c r="F18" s="3"/>
    </row>
    <row r="19" spans="1:6" ht="15.75" customHeight="1">
      <c r="A19" s="7" t="s">
        <v>36</v>
      </c>
      <c r="B19" s="15" t="s">
        <v>37</v>
      </c>
      <c r="C19" s="16" t="str">
        <f ca="1">IFERROR(__xludf.DUMMYFUNCTION("UNIQUE (A19:B24)"),"ТОВ Сільпо")</f>
        <v>ТОВ Сільпо</v>
      </c>
      <c r="D19" s="18" t="str">
        <f ca="1">IFERROR(__xludf.DUMMYFUNCTION("""COMPUTED_VALUE"""),"Київ")</f>
        <v>Київ</v>
      </c>
      <c r="E19" s="1"/>
      <c r="F19" s="1" t="e">
        <f>COUNTA (C19:C24)</f>
        <v>#NAME?</v>
      </c>
    </row>
    <row r="20" spans="1:6" ht="15.75" customHeight="1">
      <c r="A20" s="7" t="s">
        <v>36</v>
      </c>
      <c r="B20" s="15" t="s">
        <v>37</v>
      </c>
      <c r="C20" s="19" t="str">
        <f ca="1">IFERROR(__xludf.DUMMYFUNCTION("""COMPUTED_VALUE"""),"ТОВ Сільпо")</f>
        <v>ТОВ Сільпо</v>
      </c>
      <c r="D20" s="18" t="str">
        <f ca="1">IFERROR(__xludf.DUMMYFUNCTION("""COMPUTED_VALUE"""),"Волинь")</f>
        <v>Волинь</v>
      </c>
      <c r="E20" s="3"/>
      <c r="F20" s="3"/>
    </row>
    <row r="21" spans="1:6" ht="15.75" customHeight="1">
      <c r="A21" s="7" t="s">
        <v>36</v>
      </c>
      <c r="B21" s="15" t="s">
        <v>38</v>
      </c>
      <c r="C21" s="19" t="str">
        <f ca="1">IFERROR(__xludf.DUMMYFUNCTION("""COMPUTED_VALUE"""),"ТОВ ВОГ")</f>
        <v>ТОВ ВОГ</v>
      </c>
      <c r="D21" s="18" t="str">
        <f ca="1">IFERROR(__xludf.DUMMYFUNCTION("""COMPUTED_VALUE"""),"Дніпро")</f>
        <v>Дніпро</v>
      </c>
      <c r="E21" s="3"/>
      <c r="F21" s="3"/>
    </row>
    <row r="22" spans="1:6" ht="15.75" customHeight="1">
      <c r="A22" s="7" t="s">
        <v>39</v>
      </c>
      <c r="B22" s="15" t="s">
        <v>40</v>
      </c>
      <c r="C22" s="19" t="str">
        <f ca="1">IFERROR(__xludf.DUMMYFUNCTION("""COMPUTED_VALUE"""),"ТОВ ВОГ")</f>
        <v>ТОВ ВОГ</v>
      </c>
      <c r="D22" s="18" t="str">
        <f ca="1">IFERROR(__xludf.DUMMYFUNCTION("""COMPUTED_VALUE"""),"Донецьк")</f>
        <v>Донецьк</v>
      </c>
      <c r="E22" s="3"/>
      <c r="F22" s="3"/>
    </row>
    <row r="23" spans="1:6" ht="15.75" customHeight="1">
      <c r="A23" s="7" t="s">
        <v>39</v>
      </c>
      <c r="B23" s="15" t="s">
        <v>41</v>
      </c>
      <c r="C23" s="19" t="str">
        <f ca="1">IFERROR(__xludf.DUMMYFUNCTION("""COMPUTED_VALUE"""),"ТОВ ВОГ")</f>
        <v>ТОВ ВОГ</v>
      </c>
      <c r="D23" s="18" t="str">
        <f ca="1">IFERROR(__xludf.DUMMYFUNCTION("""COMPUTED_VALUE"""),"Київ")</f>
        <v>Київ</v>
      </c>
      <c r="E23" s="3"/>
      <c r="F23" s="3"/>
    </row>
    <row r="24" spans="1:6" ht="15.75" customHeight="1">
      <c r="A24" s="7" t="s">
        <v>39</v>
      </c>
      <c r="B24" s="15" t="s">
        <v>37</v>
      </c>
      <c r="C24" s="19"/>
      <c r="D24" s="19"/>
      <c r="E24" s="3"/>
      <c r="F24" s="3"/>
    </row>
    <row r="25" spans="1:6" ht="15.75" customHeight="1">
      <c r="B25" s="3"/>
      <c r="C25" s="3"/>
      <c r="D25" s="3"/>
      <c r="E25" s="3"/>
      <c r="F25" s="3"/>
    </row>
    <row r="26" spans="1:6" ht="15.75" customHeight="1">
      <c r="B26" s="3"/>
      <c r="C26" s="3"/>
      <c r="D26" s="3"/>
      <c r="E26" s="3"/>
      <c r="F26" s="3"/>
    </row>
    <row r="27" spans="1:6" ht="15.75" customHeight="1">
      <c r="B27" s="3"/>
      <c r="C27" s="3"/>
      <c r="D27" s="3"/>
      <c r="E27" s="3"/>
      <c r="F2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999"/>
  <sheetViews>
    <sheetView tabSelected="1" zoomScale="70" zoomScaleNormal="70" workbookViewId="0">
      <selection activeCell="A2" sqref="A2"/>
    </sheetView>
  </sheetViews>
  <sheetFormatPr defaultColWidth="14.42578125" defaultRowHeight="15.75" customHeight="1"/>
  <cols>
    <col min="1" max="1" width="28.85546875" customWidth="1"/>
    <col min="2" max="2" width="16.85546875" customWidth="1"/>
    <col min="3" max="3" width="47.5703125" customWidth="1"/>
    <col min="4" max="4" width="39.140625" customWidth="1"/>
    <col min="5" max="5" width="27.140625" customWidth="1"/>
    <col min="6" max="6" width="14.140625" customWidth="1"/>
    <col min="7" max="7" width="4.7109375" customWidth="1"/>
    <col min="8" max="8" width="4" customWidth="1"/>
    <col min="9" max="9" width="4.140625" customWidth="1"/>
    <col min="10" max="10" width="4.7109375" customWidth="1"/>
    <col min="11" max="11" width="19" customWidth="1"/>
    <col min="12" max="12" width="6.28515625" customWidth="1"/>
    <col min="13" max="13" width="38.7109375" customWidth="1"/>
    <col min="14" max="14" width="15.85546875" customWidth="1"/>
    <col min="15" max="15" width="4.42578125" customWidth="1"/>
  </cols>
  <sheetData>
    <row r="1" spans="1:15" ht="80.25" customHeight="1">
      <c r="A1" s="24" t="s">
        <v>42</v>
      </c>
      <c r="B1" s="24" t="s">
        <v>43</v>
      </c>
      <c r="C1" s="24" t="s">
        <v>44</v>
      </c>
      <c r="D1" s="24" t="s">
        <v>45</v>
      </c>
      <c r="E1" s="25" t="s">
        <v>46</v>
      </c>
      <c r="F1" s="25" t="s">
        <v>47</v>
      </c>
      <c r="G1" s="26" t="s">
        <v>48</v>
      </c>
      <c r="H1" s="26" t="s">
        <v>49</v>
      </c>
      <c r="I1" s="27" t="s">
        <v>50</v>
      </c>
      <c r="J1" s="27" t="s">
        <v>51</v>
      </c>
      <c r="K1" s="37" t="s">
        <v>52</v>
      </c>
      <c r="L1" s="27" t="s">
        <v>53</v>
      </c>
      <c r="M1" s="28" t="s">
        <v>54</v>
      </c>
      <c r="N1" s="24" t="s">
        <v>55</v>
      </c>
      <c r="O1" s="27" t="s">
        <v>56</v>
      </c>
    </row>
    <row r="2" spans="1:15" ht="22.5" customHeight="1">
      <c r="A2" s="43" t="s">
        <v>99</v>
      </c>
      <c r="B2" s="29"/>
      <c r="C2" s="29"/>
      <c r="D2" s="29"/>
      <c r="E2" s="29"/>
      <c r="F2" s="29"/>
      <c r="G2" s="29"/>
      <c r="H2" s="29"/>
      <c r="I2" s="29"/>
      <c r="J2" s="29"/>
      <c r="K2" s="30">
        <v>1</v>
      </c>
      <c r="L2" s="29" t="s">
        <v>88</v>
      </c>
      <c r="M2" s="29" t="s">
        <v>100</v>
      </c>
      <c r="N2" s="43" t="s">
        <v>67</v>
      </c>
      <c r="O2" s="29" t="s">
        <v>72</v>
      </c>
    </row>
    <row r="3" spans="1:15" ht="22.5" customHeight="1">
      <c r="A3" s="31"/>
      <c r="B3" s="31" t="s">
        <v>101</v>
      </c>
      <c r="C3" s="31" t="s">
        <v>102</v>
      </c>
      <c r="D3" s="31" t="s">
        <v>103</v>
      </c>
      <c r="E3" s="34" t="s">
        <v>104</v>
      </c>
      <c r="F3" s="31" t="s">
        <v>105</v>
      </c>
      <c r="G3" s="31"/>
      <c r="H3" s="31" t="s">
        <v>57</v>
      </c>
      <c r="I3" s="31"/>
      <c r="J3" s="31"/>
      <c r="K3" s="42"/>
      <c r="L3" s="31"/>
      <c r="M3" s="31"/>
      <c r="N3" s="31"/>
      <c r="O3" s="31"/>
    </row>
    <row r="4" spans="1:15" ht="22.5" customHeight="1">
      <c r="A4" s="43" t="s">
        <v>106</v>
      </c>
      <c r="B4" s="29"/>
      <c r="C4" s="39"/>
      <c r="D4" s="29"/>
      <c r="E4" s="39"/>
      <c r="F4" s="29"/>
      <c r="G4" s="29"/>
      <c r="H4" s="29"/>
      <c r="I4" s="29"/>
      <c r="J4" s="29"/>
      <c r="K4" s="30">
        <v>1</v>
      </c>
      <c r="L4" s="29" t="s">
        <v>66</v>
      </c>
      <c r="M4" s="43" t="s">
        <v>107</v>
      </c>
      <c r="N4" s="29" t="s">
        <v>108</v>
      </c>
      <c r="O4" s="29" t="s">
        <v>72</v>
      </c>
    </row>
    <row r="5" spans="1:15" ht="22.5" customHeight="1">
      <c r="A5" s="31"/>
      <c r="B5" s="31" t="s">
        <v>109</v>
      </c>
      <c r="C5" s="34" t="s">
        <v>110</v>
      </c>
      <c r="D5" s="31" t="s">
        <v>111</v>
      </c>
      <c r="E5" s="34" t="s">
        <v>112</v>
      </c>
      <c r="F5" s="31" t="s">
        <v>113</v>
      </c>
      <c r="G5" s="31"/>
      <c r="H5" s="31" t="s">
        <v>57</v>
      </c>
      <c r="I5" s="31"/>
      <c r="J5" s="31"/>
      <c r="K5" s="42"/>
      <c r="L5" s="31"/>
      <c r="M5" s="31"/>
      <c r="N5" s="31"/>
      <c r="O5" s="31"/>
    </row>
    <row r="6" spans="1:15" ht="22.5" customHeight="1">
      <c r="A6" s="43" t="s">
        <v>114</v>
      </c>
      <c r="B6" s="39"/>
      <c r="C6" s="39"/>
      <c r="D6" s="29"/>
      <c r="E6" s="39"/>
      <c r="F6" s="29"/>
      <c r="G6" s="29"/>
      <c r="H6" s="29"/>
      <c r="I6" s="29"/>
      <c r="J6" s="29"/>
      <c r="K6" s="30">
        <v>1</v>
      </c>
      <c r="L6" s="29" t="s">
        <v>80</v>
      </c>
      <c r="M6" s="43" t="s">
        <v>115</v>
      </c>
      <c r="N6" s="29" t="s">
        <v>83</v>
      </c>
      <c r="O6" s="29" t="s">
        <v>72</v>
      </c>
    </row>
    <row r="7" spans="1:15" ht="56.25">
      <c r="A7" s="48"/>
      <c r="B7" s="31" t="s">
        <v>116</v>
      </c>
      <c r="C7" s="31" t="s">
        <v>102</v>
      </c>
      <c r="D7" s="31" t="s">
        <v>103</v>
      </c>
      <c r="E7" s="34" t="s">
        <v>104</v>
      </c>
      <c r="F7" s="31" t="s">
        <v>105</v>
      </c>
      <c r="G7" s="36"/>
      <c r="H7" s="31" t="s">
        <v>57</v>
      </c>
      <c r="I7" s="31"/>
      <c r="J7" s="31"/>
      <c r="K7" s="42"/>
      <c r="L7" s="31"/>
      <c r="M7" s="31"/>
      <c r="N7" s="31"/>
      <c r="O7" s="31"/>
    </row>
    <row r="8" spans="1:15" ht="22.5" customHeight="1">
      <c r="A8" s="43" t="s">
        <v>117</v>
      </c>
      <c r="B8" s="39"/>
      <c r="C8" s="39"/>
      <c r="D8" s="29"/>
      <c r="E8" s="39"/>
      <c r="F8" s="29"/>
      <c r="G8" s="29"/>
      <c r="H8" s="29"/>
      <c r="I8" s="29"/>
      <c r="J8" s="29"/>
      <c r="K8" s="30">
        <v>6</v>
      </c>
      <c r="L8" s="29" t="s">
        <v>62</v>
      </c>
      <c r="M8" s="43" t="s">
        <v>118</v>
      </c>
      <c r="N8" s="29" t="s">
        <v>119</v>
      </c>
      <c r="O8" s="29" t="s">
        <v>72</v>
      </c>
    </row>
    <row r="9" spans="1:15" ht="22.5" customHeight="1">
      <c r="A9" s="31"/>
      <c r="B9" s="34" t="s">
        <v>120</v>
      </c>
      <c r="C9" s="34" t="s">
        <v>121</v>
      </c>
      <c r="D9" s="31" t="s">
        <v>122</v>
      </c>
      <c r="E9" s="34" t="s">
        <v>123</v>
      </c>
      <c r="F9" s="31" t="s">
        <v>124</v>
      </c>
      <c r="G9" s="31"/>
      <c r="H9" s="31" t="s">
        <v>57</v>
      </c>
      <c r="I9" s="31"/>
      <c r="J9" s="31"/>
      <c r="K9" s="42"/>
      <c r="L9" s="31"/>
      <c r="M9" s="31"/>
      <c r="N9" s="31"/>
      <c r="O9" s="31"/>
    </row>
    <row r="10" spans="1:15" ht="22.5" customHeight="1">
      <c r="A10" s="31"/>
      <c r="B10" s="34"/>
      <c r="C10" s="34" t="s">
        <v>125</v>
      </c>
      <c r="D10" s="31" t="s">
        <v>126</v>
      </c>
      <c r="E10" s="34" t="s">
        <v>127</v>
      </c>
      <c r="F10" s="31" t="s">
        <v>128</v>
      </c>
      <c r="G10" s="31"/>
      <c r="H10" s="31" t="s">
        <v>57</v>
      </c>
      <c r="I10" s="31"/>
      <c r="J10" s="31"/>
      <c r="K10" s="42"/>
      <c r="L10" s="31"/>
      <c r="M10" s="31"/>
      <c r="N10" s="31"/>
      <c r="O10" s="31"/>
    </row>
    <row r="11" spans="1:15" ht="22.5" customHeight="1">
      <c r="A11" s="31"/>
      <c r="B11" s="34"/>
      <c r="C11" s="34" t="s">
        <v>129</v>
      </c>
      <c r="D11" s="31" t="s">
        <v>130</v>
      </c>
      <c r="E11" s="34" t="s">
        <v>131</v>
      </c>
      <c r="F11" s="31" t="s">
        <v>132</v>
      </c>
      <c r="G11" s="31"/>
      <c r="H11" s="31" t="s">
        <v>57</v>
      </c>
      <c r="I11" s="31"/>
      <c r="J11" s="31"/>
      <c r="K11" s="42"/>
      <c r="L11" s="31"/>
      <c r="M11" s="31"/>
      <c r="N11" s="31"/>
      <c r="O11" s="31"/>
    </row>
    <row r="12" spans="1:15" ht="22.5" customHeight="1">
      <c r="A12" s="31"/>
      <c r="B12" s="34"/>
      <c r="C12" s="34" t="s">
        <v>133</v>
      </c>
      <c r="D12" s="31" t="s">
        <v>134</v>
      </c>
      <c r="E12" s="34" t="s">
        <v>135</v>
      </c>
      <c r="F12" s="31" t="s">
        <v>136</v>
      </c>
      <c r="G12" s="31"/>
      <c r="H12" s="31" t="s">
        <v>57</v>
      </c>
      <c r="I12" s="31"/>
      <c r="J12" s="31"/>
      <c r="K12" s="42"/>
      <c r="L12" s="31"/>
      <c r="M12" s="31"/>
      <c r="N12" s="31"/>
      <c r="O12" s="31"/>
    </row>
    <row r="13" spans="1:15" ht="22.5" customHeight="1">
      <c r="A13" s="31"/>
      <c r="B13" s="34"/>
      <c r="C13" s="31" t="s">
        <v>137</v>
      </c>
      <c r="D13" s="31" t="s">
        <v>138</v>
      </c>
      <c r="E13" s="34" t="s">
        <v>139</v>
      </c>
      <c r="F13" s="31" t="s">
        <v>140</v>
      </c>
      <c r="G13" s="31"/>
      <c r="H13" s="31" t="s">
        <v>57</v>
      </c>
      <c r="I13" s="31"/>
      <c r="J13" s="31"/>
      <c r="K13" s="42"/>
      <c r="L13" s="31"/>
      <c r="M13" s="31"/>
      <c r="N13" s="31"/>
      <c r="O13" s="31"/>
    </row>
    <row r="14" spans="1:15" ht="22.5" customHeight="1">
      <c r="A14" s="48"/>
      <c r="B14" s="34"/>
      <c r="C14" s="34" t="s">
        <v>141</v>
      </c>
      <c r="D14" s="31" t="s">
        <v>142</v>
      </c>
      <c r="E14" s="34" t="s">
        <v>143</v>
      </c>
      <c r="F14" s="31" t="s">
        <v>144</v>
      </c>
      <c r="G14" s="31"/>
      <c r="H14" s="31" t="s">
        <v>57</v>
      </c>
      <c r="I14" s="31"/>
      <c r="J14" s="31"/>
      <c r="K14" s="42"/>
      <c r="L14" s="31"/>
      <c r="M14" s="31"/>
      <c r="N14" s="31"/>
      <c r="O14" s="31"/>
    </row>
    <row r="15" spans="1:15" ht="22.5" customHeight="1">
      <c r="A15" s="43" t="s">
        <v>145</v>
      </c>
      <c r="B15" s="39"/>
      <c r="C15" s="39"/>
      <c r="D15" s="29"/>
      <c r="E15" s="39"/>
      <c r="F15" s="29"/>
      <c r="G15" s="29"/>
      <c r="H15" s="29"/>
      <c r="I15" s="29"/>
      <c r="J15" s="29"/>
      <c r="K15" s="29" t="s">
        <v>66</v>
      </c>
      <c r="L15" s="29" t="s">
        <v>80</v>
      </c>
      <c r="M15" s="43" t="s">
        <v>146</v>
      </c>
      <c r="N15" s="29" t="s">
        <v>84</v>
      </c>
      <c r="O15" s="29" t="s">
        <v>72</v>
      </c>
    </row>
    <row r="16" spans="1:15" ht="22.5" customHeight="1">
      <c r="A16" s="31"/>
      <c r="B16" s="34" t="s">
        <v>147</v>
      </c>
      <c r="C16" s="34" t="s">
        <v>148</v>
      </c>
      <c r="D16" s="31" t="s">
        <v>149</v>
      </c>
      <c r="E16" s="34" t="s">
        <v>150</v>
      </c>
      <c r="F16" s="31" t="s">
        <v>151</v>
      </c>
      <c r="G16" s="31"/>
      <c r="H16" s="31" t="s">
        <v>57</v>
      </c>
      <c r="I16" s="31"/>
      <c r="J16" s="31"/>
      <c r="K16" s="42"/>
      <c r="L16" s="31"/>
      <c r="M16" s="31"/>
      <c r="N16" s="31"/>
      <c r="O16" s="31"/>
    </row>
    <row r="17" spans="1:15" ht="22.5" customHeight="1">
      <c r="A17" s="31"/>
      <c r="B17" s="34"/>
      <c r="C17" s="34" t="s">
        <v>125</v>
      </c>
      <c r="D17" s="31" t="s">
        <v>152</v>
      </c>
      <c r="E17" s="34" t="s">
        <v>153</v>
      </c>
      <c r="F17" s="31" t="s">
        <v>128</v>
      </c>
      <c r="G17" s="31"/>
      <c r="H17" s="31" t="s">
        <v>57</v>
      </c>
      <c r="I17" s="31"/>
      <c r="J17" s="31"/>
      <c r="K17" s="42"/>
      <c r="L17" s="31"/>
      <c r="M17" s="31"/>
      <c r="N17" s="31"/>
      <c r="O17" s="31"/>
    </row>
    <row r="18" spans="1:15" ht="22.5" customHeight="1">
      <c r="A18" s="31"/>
      <c r="B18" s="34"/>
      <c r="C18" s="34" t="s">
        <v>148</v>
      </c>
      <c r="D18" s="31" t="s">
        <v>154</v>
      </c>
      <c r="E18" s="34" t="s">
        <v>155</v>
      </c>
      <c r="F18" s="31" t="s">
        <v>151</v>
      </c>
      <c r="G18" s="31"/>
      <c r="H18" s="31" t="s">
        <v>57</v>
      </c>
      <c r="I18" s="31"/>
      <c r="J18" s="31"/>
      <c r="K18" s="42"/>
      <c r="L18" s="31"/>
      <c r="M18" s="31"/>
      <c r="N18" s="31"/>
      <c r="O18" s="31"/>
    </row>
    <row r="19" spans="1:15" ht="22.5" customHeight="1">
      <c r="A19" s="31"/>
      <c r="B19" s="34"/>
      <c r="C19" s="34" t="s">
        <v>156</v>
      </c>
      <c r="D19" s="31" t="s">
        <v>157</v>
      </c>
      <c r="E19" s="34" t="s">
        <v>158</v>
      </c>
      <c r="F19" s="31" t="s">
        <v>159</v>
      </c>
      <c r="G19" s="31"/>
      <c r="H19" s="31" t="s">
        <v>57</v>
      </c>
      <c r="I19" s="31"/>
      <c r="J19" s="31"/>
      <c r="K19" s="42"/>
      <c r="L19" s="31"/>
      <c r="M19" s="31"/>
      <c r="N19" s="31"/>
      <c r="O19" s="31"/>
    </row>
    <row r="20" spans="1:15" ht="22.5" customHeight="1">
      <c r="A20" s="31"/>
      <c r="B20" s="34"/>
      <c r="C20" s="34" t="s">
        <v>160</v>
      </c>
      <c r="D20" s="31" t="s">
        <v>161</v>
      </c>
      <c r="E20" s="34" t="s">
        <v>162</v>
      </c>
      <c r="F20" s="31" t="s">
        <v>151</v>
      </c>
      <c r="G20" s="31"/>
      <c r="H20" s="31" t="s">
        <v>57</v>
      </c>
      <c r="I20" s="31"/>
      <c r="J20" s="31"/>
      <c r="K20" s="42"/>
      <c r="L20" s="31"/>
      <c r="M20" s="31"/>
      <c r="N20" s="31"/>
      <c r="O20" s="31"/>
    </row>
    <row r="21" spans="1:15" ht="22.5" customHeight="1">
      <c r="A21" s="31"/>
      <c r="B21" s="34"/>
      <c r="C21" s="34" t="s">
        <v>156</v>
      </c>
      <c r="D21" s="31" t="s">
        <v>163</v>
      </c>
      <c r="E21" s="34" t="s">
        <v>164</v>
      </c>
      <c r="F21" s="31" t="s">
        <v>159</v>
      </c>
      <c r="G21" s="31"/>
      <c r="H21" s="31" t="s">
        <v>57</v>
      </c>
      <c r="I21" s="31"/>
      <c r="J21" s="31"/>
      <c r="K21" s="42"/>
      <c r="L21" s="31"/>
      <c r="M21" s="31"/>
      <c r="N21" s="31"/>
      <c r="O21" s="31"/>
    </row>
    <row r="22" spans="1:15" ht="22.5" customHeight="1">
      <c r="A22" s="43" t="s">
        <v>165</v>
      </c>
      <c r="B22" s="39"/>
      <c r="C22" s="39"/>
      <c r="D22" s="29"/>
      <c r="E22" s="39"/>
      <c r="F22" s="29"/>
      <c r="G22" s="29"/>
      <c r="H22" s="29"/>
      <c r="I22" s="29"/>
      <c r="J22" s="29"/>
      <c r="K22" s="30">
        <v>1</v>
      </c>
      <c r="L22" s="29" t="s">
        <v>59</v>
      </c>
      <c r="M22" s="43" t="s">
        <v>166</v>
      </c>
      <c r="N22" s="43" t="s">
        <v>167</v>
      </c>
      <c r="O22" s="29" t="s">
        <v>72</v>
      </c>
    </row>
    <row r="23" spans="1:15" ht="22.5" customHeight="1">
      <c r="A23" s="31"/>
      <c r="B23" s="34"/>
      <c r="C23" s="34" t="s">
        <v>168</v>
      </c>
      <c r="D23" s="31" t="s">
        <v>169</v>
      </c>
      <c r="E23" s="34" t="s">
        <v>170</v>
      </c>
      <c r="F23" s="31" t="s">
        <v>171</v>
      </c>
      <c r="G23" s="31" t="s">
        <v>57</v>
      </c>
      <c r="H23" s="31" t="s">
        <v>57</v>
      </c>
      <c r="I23" s="31"/>
      <c r="J23" s="31"/>
      <c r="K23" s="42"/>
      <c r="L23" s="31"/>
      <c r="M23" s="31"/>
      <c r="N23" s="31"/>
      <c r="O23" s="31"/>
    </row>
    <row r="24" spans="1:15" ht="22.5" customHeight="1">
      <c r="A24" s="43" t="s">
        <v>172</v>
      </c>
      <c r="B24" s="39"/>
      <c r="C24" s="39"/>
      <c r="D24" s="29"/>
      <c r="E24" s="39"/>
      <c r="F24" s="29"/>
      <c r="G24" s="29"/>
      <c r="H24" s="29"/>
      <c r="I24" s="29"/>
      <c r="J24" s="29"/>
      <c r="K24" s="30">
        <v>1</v>
      </c>
      <c r="L24" s="29" t="s">
        <v>68</v>
      </c>
      <c r="M24" s="43" t="s">
        <v>173</v>
      </c>
      <c r="N24" s="43" t="s">
        <v>70</v>
      </c>
      <c r="O24" s="29" t="s">
        <v>72</v>
      </c>
    </row>
    <row r="25" spans="1:15" ht="22.5" customHeight="1">
      <c r="A25" s="31"/>
      <c r="B25" s="34"/>
      <c r="C25" s="34" t="s">
        <v>168</v>
      </c>
      <c r="D25" s="31" t="s">
        <v>174</v>
      </c>
      <c r="E25" s="34" t="s">
        <v>175</v>
      </c>
      <c r="F25" s="31" t="s">
        <v>171</v>
      </c>
      <c r="G25" s="31" t="s">
        <v>57</v>
      </c>
      <c r="H25" s="31" t="s">
        <v>57</v>
      </c>
      <c r="I25" s="31"/>
      <c r="J25" s="31"/>
      <c r="K25" s="42"/>
      <c r="L25" s="31"/>
      <c r="M25" s="31"/>
      <c r="N25" s="31"/>
      <c r="O25" s="31"/>
    </row>
    <row r="26" spans="1:15" ht="22.5" customHeight="1">
      <c r="A26" s="43" t="s">
        <v>176</v>
      </c>
      <c r="B26" s="39"/>
      <c r="C26" s="39"/>
      <c r="D26" s="29"/>
      <c r="E26" s="39"/>
      <c r="F26" s="29"/>
      <c r="G26" s="29"/>
      <c r="H26" s="29"/>
      <c r="I26" s="29"/>
      <c r="J26" s="29"/>
      <c r="K26" s="30">
        <v>1</v>
      </c>
      <c r="L26" s="29" t="s">
        <v>76</v>
      </c>
      <c r="M26" s="43" t="s">
        <v>177</v>
      </c>
      <c r="N26" s="29" t="s">
        <v>84</v>
      </c>
      <c r="O26" s="29" t="s">
        <v>72</v>
      </c>
    </row>
    <row r="27" spans="1:15" ht="22.5" customHeight="1">
      <c r="A27" s="31"/>
      <c r="B27" s="34"/>
      <c r="C27" s="34" t="s">
        <v>168</v>
      </c>
      <c r="D27" s="31" t="s">
        <v>174</v>
      </c>
      <c r="E27" s="34" t="s">
        <v>170</v>
      </c>
      <c r="F27" s="31" t="s">
        <v>171</v>
      </c>
      <c r="G27" s="31" t="s">
        <v>57</v>
      </c>
      <c r="H27" s="31" t="s">
        <v>57</v>
      </c>
      <c r="I27" s="31"/>
      <c r="J27" s="31"/>
      <c r="K27" s="42"/>
      <c r="L27" s="31"/>
      <c r="M27" s="31"/>
      <c r="N27" s="31"/>
      <c r="O27" s="31"/>
    </row>
    <row r="28" spans="1:15" ht="22.5" customHeight="1">
      <c r="A28" s="43" t="s">
        <v>178</v>
      </c>
      <c r="B28" s="39"/>
      <c r="C28" s="39"/>
      <c r="D28" s="29"/>
      <c r="E28" s="39"/>
      <c r="F28" s="29"/>
      <c r="G28" s="29"/>
      <c r="H28" s="29"/>
      <c r="I28" s="29"/>
      <c r="J28" s="29"/>
      <c r="K28" s="30">
        <v>3</v>
      </c>
      <c r="L28" s="29" t="s">
        <v>69</v>
      </c>
      <c r="M28" s="43" t="s">
        <v>97</v>
      </c>
      <c r="N28" s="43" t="s">
        <v>96</v>
      </c>
      <c r="O28" s="29" t="s">
        <v>72</v>
      </c>
    </row>
    <row r="29" spans="1:15" ht="22.5" customHeight="1">
      <c r="A29" s="31"/>
      <c r="B29" s="34"/>
      <c r="C29" s="34" t="s">
        <v>179</v>
      </c>
      <c r="D29" s="31" t="s">
        <v>180</v>
      </c>
      <c r="E29" s="34" t="s">
        <v>181</v>
      </c>
      <c r="F29" s="31" t="s">
        <v>87</v>
      </c>
      <c r="G29" s="31" t="s">
        <v>57</v>
      </c>
      <c r="H29" s="31" t="s">
        <v>57</v>
      </c>
      <c r="I29" s="31"/>
      <c r="J29" s="31"/>
      <c r="K29" s="42"/>
      <c r="L29" s="31"/>
      <c r="M29" s="31"/>
      <c r="N29" s="31"/>
      <c r="O29" s="31"/>
    </row>
    <row r="30" spans="1:15" ht="22.5" customHeight="1">
      <c r="A30" s="31"/>
      <c r="B30" s="34"/>
      <c r="C30" s="34" t="s">
        <v>182</v>
      </c>
      <c r="D30" s="31" t="s">
        <v>183</v>
      </c>
      <c r="E30" s="34" t="s">
        <v>184</v>
      </c>
      <c r="F30" s="31" t="s">
        <v>185</v>
      </c>
      <c r="G30" s="31" t="s">
        <v>57</v>
      </c>
      <c r="H30" s="31" t="s">
        <v>57</v>
      </c>
      <c r="I30" s="31"/>
      <c r="J30" s="31"/>
      <c r="K30" s="42"/>
      <c r="L30" s="31"/>
      <c r="M30" s="31"/>
      <c r="N30" s="31"/>
      <c r="O30" s="31"/>
    </row>
    <row r="31" spans="1:15" ht="22.5" customHeight="1">
      <c r="A31" s="31"/>
      <c r="B31" s="34"/>
      <c r="C31" s="34" t="s">
        <v>186</v>
      </c>
      <c r="D31" s="31" t="s">
        <v>187</v>
      </c>
      <c r="E31" s="34" t="s">
        <v>188</v>
      </c>
      <c r="F31" s="31" t="s">
        <v>189</v>
      </c>
      <c r="G31" s="31"/>
      <c r="H31" s="31" t="s">
        <v>57</v>
      </c>
      <c r="I31" s="31"/>
      <c r="J31" s="31"/>
      <c r="K31" s="42"/>
      <c r="L31" s="31"/>
      <c r="M31" s="31"/>
      <c r="N31" s="31"/>
      <c r="O31" s="31"/>
    </row>
    <row r="32" spans="1:15" ht="22.5" customHeight="1">
      <c r="A32" s="43" t="s">
        <v>190</v>
      </c>
      <c r="B32" s="39"/>
      <c r="C32" s="39"/>
      <c r="D32" s="29"/>
      <c r="E32" s="39"/>
      <c r="F32" s="29"/>
      <c r="G32" s="29"/>
      <c r="H32" s="29"/>
      <c r="I32" s="29"/>
      <c r="J32" s="29"/>
      <c r="K32" s="30">
        <v>1</v>
      </c>
      <c r="L32" s="29" t="s">
        <v>66</v>
      </c>
      <c r="M32" s="43" t="s">
        <v>191</v>
      </c>
      <c r="N32" s="43" t="s">
        <v>96</v>
      </c>
      <c r="O32" s="29" t="s">
        <v>72</v>
      </c>
    </row>
    <row r="33" spans="1:15" ht="22.5" customHeight="1">
      <c r="A33" s="31"/>
      <c r="B33" s="34" t="s">
        <v>192</v>
      </c>
      <c r="C33" s="34" t="s">
        <v>193</v>
      </c>
      <c r="D33" s="31" t="s">
        <v>194</v>
      </c>
      <c r="E33" s="34" t="s">
        <v>195</v>
      </c>
      <c r="F33" s="31" t="s">
        <v>196</v>
      </c>
      <c r="G33" s="31"/>
      <c r="H33" s="31" t="s">
        <v>57</v>
      </c>
      <c r="I33" s="31"/>
      <c r="J33" s="31"/>
      <c r="K33" s="42"/>
      <c r="L33" s="31"/>
      <c r="M33" s="31"/>
      <c r="N33" s="31"/>
      <c r="O33" s="31"/>
    </row>
    <row r="34" spans="1:15" ht="22.5" customHeight="1">
      <c r="A34" s="43" t="s">
        <v>197</v>
      </c>
      <c r="B34" s="39"/>
      <c r="C34" s="39"/>
      <c r="D34" s="29"/>
      <c r="E34" s="39"/>
      <c r="F34" s="29"/>
      <c r="G34" s="29"/>
      <c r="H34" s="29"/>
      <c r="I34" s="29"/>
      <c r="J34" s="29"/>
      <c r="K34" s="30">
        <v>2</v>
      </c>
      <c r="L34" s="29" t="s">
        <v>73</v>
      </c>
      <c r="M34" s="43" t="s">
        <v>198</v>
      </c>
      <c r="N34" s="29"/>
      <c r="O34" s="29" t="s">
        <v>72</v>
      </c>
    </row>
    <row r="35" spans="1:15" ht="22.5" customHeight="1">
      <c r="A35" s="31"/>
      <c r="B35" s="34"/>
      <c r="C35" s="34" t="s">
        <v>199</v>
      </c>
      <c r="D35" s="31" t="s">
        <v>200</v>
      </c>
      <c r="E35" s="34" t="s">
        <v>201</v>
      </c>
      <c r="F35" s="46" t="s">
        <v>202</v>
      </c>
      <c r="G35" s="31"/>
      <c r="H35" s="31" t="s">
        <v>57</v>
      </c>
      <c r="I35" s="31"/>
      <c r="J35" s="31"/>
      <c r="K35" s="42"/>
      <c r="L35" s="31"/>
      <c r="M35" s="31"/>
      <c r="N35" s="31"/>
      <c r="O35" s="31"/>
    </row>
    <row r="36" spans="1:15" ht="22.5" customHeight="1">
      <c r="A36" s="31"/>
      <c r="B36" s="34"/>
      <c r="C36" s="34" t="s">
        <v>203</v>
      </c>
      <c r="D36" s="31" t="s">
        <v>204</v>
      </c>
      <c r="E36" s="34" t="s">
        <v>205</v>
      </c>
      <c r="F36" s="46" t="s">
        <v>202</v>
      </c>
      <c r="G36" s="31"/>
      <c r="H36" s="31" t="s">
        <v>57</v>
      </c>
      <c r="I36" s="31"/>
      <c r="J36" s="31"/>
      <c r="K36" s="42"/>
      <c r="L36" s="31"/>
      <c r="M36" s="31"/>
      <c r="N36" s="31"/>
      <c r="O36" s="31"/>
    </row>
    <row r="37" spans="1:15" ht="72">
      <c r="A37" s="43" t="s">
        <v>206</v>
      </c>
      <c r="B37" s="39"/>
      <c r="C37" s="33"/>
      <c r="D37" s="33"/>
      <c r="E37" s="33"/>
      <c r="F37" s="33"/>
      <c r="G37" s="33"/>
      <c r="H37" s="33"/>
      <c r="I37" s="33"/>
      <c r="J37" s="33"/>
      <c r="K37" s="30">
        <v>3</v>
      </c>
      <c r="L37" s="29" t="s">
        <v>66</v>
      </c>
      <c r="M37" s="43" t="s">
        <v>207</v>
      </c>
      <c r="N37" s="33"/>
      <c r="O37" s="29" t="s">
        <v>72</v>
      </c>
    </row>
    <row r="38" spans="1:15" ht="56.25">
      <c r="A38" s="31"/>
      <c r="B38" s="36"/>
      <c r="C38" s="34" t="s">
        <v>203</v>
      </c>
      <c r="D38" s="31" t="s">
        <v>208</v>
      </c>
      <c r="E38" s="34" t="s">
        <v>205</v>
      </c>
      <c r="F38" s="46" t="s">
        <v>202</v>
      </c>
      <c r="G38" s="31"/>
      <c r="H38" s="31" t="s">
        <v>57</v>
      </c>
      <c r="I38" s="36"/>
      <c r="J38" s="36"/>
      <c r="K38" s="40"/>
      <c r="L38" s="36"/>
      <c r="M38" s="36"/>
      <c r="N38" s="36"/>
      <c r="O38" s="36"/>
    </row>
    <row r="39" spans="1:15" ht="56.25">
      <c r="A39" s="36"/>
      <c r="B39" s="36"/>
      <c r="C39" s="34" t="s">
        <v>199</v>
      </c>
      <c r="D39" s="31" t="s">
        <v>209</v>
      </c>
      <c r="E39" s="34" t="s">
        <v>210</v>
      </c>
      <c r="F39" s="46" t="s">
        <v>202</v>
      </c>
      <c r="G39" s="31"/>
      <c r="H39" s="31" t="s">
        <v>57</v>
      </c>
      <c r="I39" s="36"/>
      <c r="J39" s="36"/>
      <c r="K39" s="40"/>
      <c r="L39" s="36"/>
      <c r="M39" s="36"/>
      <c r="N39" s="36"/>
      <c r="O39" s="36"/>
    </row>
    <row r="40" spans="1:15" ht="56.25">
      <c r="A40" s="36"/>
      <c r="B40" s="36"/>
      <c r="C40" s="34" t="s">
        <v>199</v>
      </c>
      <c r="D40" s="31" t="s">
        <v>200</v>
      </c>
      <c r="E40" s="34" t="s">
        <v>201</v>
      </c>
      <c r="F40" s="46" t="s">
        <v>202</v>
      </c>
      <c r="G40" s="31"/>
      <c r="H40" s="31" t="s">
        <v>57</v>
      </c>
      <c r="I40" s="36"/>
      <c r="J40" s="36"/>
      <c r="K40" s="40"/>
      <c r="L40" s="36"/>
      <c r="M40" s="36"/>
      <c r="N40" s="36"/>
      <c r="O40" s="36"/>
    </row>
    <row r="41" spans="1:15" ht="54">
      <c r="A41" s="43" t="s">
        <v>211</v>
      </c>
      <c r="B41" s="33"/>
      <c r="C41" s="47"/>
      <c r="D41" s="47"/>
      <c r="E41" s="47"/>
      <c r="F41" s="33"/>
      <c r="G41" s="33"/>
      <c r="H41" s="33"/>
      <c r="I41" s="33"/>
      <c r="J41" s="33"/>
      <c r="K41" s="30">
        <v>1</v>
      </c>
      <c r="L41" s="29" t="s">
        <v>65</v>
      </c>
      <c r="M41" s="43" t="s">
        <v>212</v>
      </c>
      <c r="N41" s="43" t="s">
        <v>213</v>
      </c>
      <c r="O41" s="29" t="s">
        <v>72</v>
      </c>
    </row>
    <row r="42" spans="1:15" ht="56.25">
      <c r="A42" s="36"/>
      <c r="B42" s="31" t="s">
        <v>214</v>
      </c>
      <c r="C42" s="31" t="s">
        <v>215</v>
      </c>
      <c r="D42" s="31" t="s">
        <v>216</v>
      </c>
      <c r="E42" s="31" t="s">
        <v>217</v>
      </c>
      <c r="F42" s="46" t="s">
        <v>218</v>
      </c>
      <c r="G42" s="36"/>
      <c r="H42" s="31" t="s">
        <v>57</v>
      </c>
      <c r="I42" s="36"/>
      <c r="J42" s="36"/>
      <c r="K42" s="40"/>
      <c r="L42" s="31"/>
      <c r="M42" s="36"/>
      <c r="N42" s="36"/>
      <c r="O42" s="36"/>
    </row>
    <row r="43" spans="1:15" ht="54">
      <c r="A43" s="43" t="s">
        <v>219</v>
      </c>
      <c r="B43" s="33"/>
      <c r="C43" s="33"/>
      <c r="D43" s="33"/>
      <c r="E43" s="33"/>
      <c r="F43" s="33"/>
      <c r="G43" s="33"/>
      <c r="H43" s="33"/>
      <c r="I43" s="33"/>
      <c r="J43" s="33"/>
      <c r="K43" s="30">
        <v>1</v>
      </c>
      <c r="L43" s="29" t="s">
        <v>59</v>
      </c>
      <c r="M43" s="43" t="s">
        <v>78</v>
      </c>
      <c r="N43" s="43" t="s">
        <v>220</v>
      </c>
      <c r="O43" s="29" t="s">
        <v>72</v>
      </c>
    </row>
    <row r="44" spans="1:15" ht="56.25">
      <c r="A44" s="36"/>
      <c r="B44" s="31" t="s">
        <v>221</v>
      </c>
      <c r="C44" s="31" t="s">
        <v>215</v>
      </c>
      <c r="D44" s="31" t="s">
        <v>216</v>
      </c>
      <c r="E44" s="31" t="s">
        <v>217</v>
      </c>
      <c r="F44" s="46" t="s">
        <v>218</v>
      </c>
      <c r="G44" s="36"/>
      <c r="H44" s="31" t="s">
        <v>57</v>
      </c>
      <c r="I44" s="36"/>
      <c r="J44" s="36"/>
      <c r="K44" s="40"/>
      <c r="L44" s="36"/>
      <c r="M44" s="36"/>
      <c r="N44" s="36"/>
      <c r="O44" s="36"/>
    </row>
    <row r="45" spans="1:15" ht="36">
      <c r="A45" s="43" t="s">
        <v>222</v>
      </c>
      <c r="B45" s="33"/>
      <c r="C45" s="33"/>
      <c r="D45" s="33"/>
      <c r="E45" s="33"/>
      <c r="F45" s="33"/>
      <c r="G45" s="33"/>
      <c r="H45" s="33"/>
      <c r="I45" s="33"/>
      <c r="J45" s="33"/>
      <c r="K45" s="30">
        <v>1</v>
      </c>
      <c r="L45" s="29" t="s">
        <v>61</v>
      </c>
      <c r="M45" s="43" t="s">
        <v>223</v>
      </c>
      <c r="N45" s="43" t="s">
        <v>77</v>
      </c>
      <c r="O45" s="29" t="s">
        <v>72</v>
      </c>
    </row>
    <row r="46" spans="1:15" ht="56.25">
      <c r="A46" s="36"/>
      <c r="B46" s="31" t="s">
        <v>224</v>
      </c>
      <c r="C46" s="31" t="s">
        <v>225</v>
      </c>
      <c r="D46" s="31" t="s">
        <v>226</v>
      </c>
      <c r="E46" s="31" t="s">
        <v>227</v>
      </c>
      <c r="F46" s="31" t="s">
        <v>228</v>
      </c>
      <c r="G46" s="36"/>
      <c r="H46" s="31" t="s">
        <v>57</v>
      </c>
      <c r="I46" s="36"/>
      <c r="J46" s="36"/>
      <c r="K46" s="40"/>
      <c r="L46" s="36"/>
      <c r="M46" s="36"/>
      <c r="N46" s="36"/>
      <c r="O46" s="36"/>
    </row>
    <row r="47" spans="1:15" ht="126">
      <c r="A47" s="43" t="s">
        <v>229</v>
      </c>
      <c r="B47" s="29"/>
      <c r="C47" s="29"/>
      <c r="D47" s="33"/>
      <c r="E47" s="33"/>
      <c r="F47" s="33"/>
      <c r="G47" s="33"/>
      <c r="H47" s="33"/>
      <c r="I47" s="33"/>
      <c r="J47" s="33"/>
      <c r="K47" s="38"/>
      <c r="L47" s="43" t="s">
        <v>230</v>
      </c>
      <c r="M47" s="43" t="s">
        <v>231</v>
      </c>
      <c r="N47" s="43" t="s">
        <v>77</v>
      </c>
      <c r="O47" s="29" t="s">
        <v>72</v>
      </c>
    </row>
    <row r="48" spans="1:15" ht="56.25">
      <c r="A48" s="36"/>
      <c r="B48" s="31" t="s">
        <v>232</v>
      </c>
      <c r="C48" s="31" t="s">
        <v>225</v>
      </c>
      <c r="D48" s="31" t="s">
        <v>226</v>
      </c>
      <c r="E48" s="31" t="s">
        <v>227</v>
      </c>
      <c r="F48" s="31" t="s">
        <v>228</v>
      </c>
      <c r="G48" s="36"/>
      <c r="H48" s="31" t="s">
        <v>57</v>
      </c>
      <c r="I48" s="36"/>
      <c r="J48" s="36"/>
      <c r="K48" s="40"/>
      <c r="L48" s="36"/>
      <c r="M48" s="36"/>
      <c r="N48" s="36"/>
      <c r="O48" s="36"/>
    </row>
    <row r="49" spans="1:15" ht="72">
      <c r="A49" s="43" t="s">
        <v>233</v>
      </c>
      <c r="B49" s="33"/>
      <c r="C49" s="33"/>
      <c r="D49" s="33"/>
      <c r="E49" s="33"/>
      <c r="F49" s="33"/>
      <c r="G49" s="33"/>
      <c r="H49" s="33"/>
      <c r="I49" s="33"/>
      <c r="J49" s="33"/>
      <c r="K49" s="30">
        <v>5</v>
      </c>
      <c r="L49" s="29" t="s">
        <v>64</v>
      </c>
      <c r="M49" s="43" t="s">
        <v>207</v>
      </c>
      <c r="N49" s="43" t="s">
        <v>234</v>
      </c>
      <c r="O49" s="29" t="s">
        <v>72</v>
      </c>
    </row>
    <row r="50" spans="1:15" ht="56.25">
      <c r="A50" s="36"/>
      <c r="B50" s="31" t="s">
        <v>235</v>
      </c>
      <c r="C50" s="31" t="s">
        <v>236</v>
      </c>
      <c r="D50" s="31" t="s">
        <v>237</v>
      </c>
      <c r="E50" s="31" t="s">
        <v>238</v>
      </c>
      <c r="F50" s="31" t="s">
        <v>239</v>
      </c>
      <c r="G50" s="36"/>
      <c r="H50" s="31" t="s">
        <v>57</v>
      </c>
      <c r="I50" s="36"/>
      <c r="J50" s="36"/>
      <c r="K50" s="40"/>
      <c r="L50" s="36"/>
      <c r="M50" s="36"/>
      <c r="N50" s="36"/>
      <c r="O50" s="36"/>
    </row>
    <row r="51" spans="1:15" ht="75">
      <c r="A51" s="36"/>
      <c r="B51" s="31" t="s">
        <v>240</v>
      </c>
      <c r="C51" s="31" t="s">
        <v>241</v>
      </c>
      <c r="D51" s="31" t="s">
        <v>242</v>
      </c>
      <c r="E51" s="31" t="s">
        <v>243</v>
      </c>
      <c r="F51" s="31" t="s">
        <v>244</v>
      </c>
      <c r="G51" s="36"/>
      <c r="H51" s="31" t="s">
        <v>57</v>
      </c>
      <c r="I51" s="36"/>
      <c r="J51" s="36"/>
      <c r="K51" s="40"/>
      <c r="L51" s="36"/>
      <c r="M51" s="36"/>
      <c r="N51" s="36"/>
      <c r="O51" s="36"/>
    </row>
    <row r="52" spans="1:15" ht="37.5">
      <c r="A52" s="36"/>
      <c r="B52" s="36"/>
      <c r="C52" s="31" t="s">
        <v>245</v>
      </c>
      <c r="D52" s="31" t="s">
        <v>246</v>
      </c>
      <c r="E52" s="31" t="s">
        <v>247</v>
      </c>
      <c r="F52" s="31" t="s">
        <v>248</v>
      </c>
      <c r="G52" s="36"/>
      <c r="H52" s="31" t="s">
        <v>57</v>
      </c>
      <c r="I52" s="36"/>
      <c r="J52" s="36"/>
      <c r="K52" s="40"/>
      <c r="L52" s="36"/>
      <c r="M52" s="36"/>
      <c r="N52" s="36"/>
      <c r="O52" s="36"/>
    </row>
    <row r="53" spans="1:15" ht="56.25">
      <c r="A53" s="36"/>
      <c r="B53" s="36"/>
      <c r="C53" s="31" t="s">
        <v>245</v>
      </c>
      <c r="D53" s="31" t="s">
        <v>249</v>
      </c>
      <c r="E53" s="31" t="s">
        <v>250</v>
      </c>
      <c r="F53" s="31" t="s">
        <v>248</v>
      </c>
      <c r="G53" s="36"/>
      <c r="H53" s="31" t="s">
        <v>57</v>
      </c>
      <c r="I53" s="36"/>
      <c r="J53" s="36"/>
      <c r="K53" s="40"/>
      <c r="L53" s="36"/>
      <c r="M53" s="36"/>
      <c r="N53" s="36"/>
      <c r="O53" s="36"/>
    </row>
    <row r="54" spans="1:15" ht="75">
      <c r="A54" s="36"/>
      <c r="B54" s="36"/>
      <c r="C54" s="31" t="s">
        <v>251</v>
      </c>
      <c r="D54" s="31" t="s">
        <v>252</v>
      </c>
      <c r="E54" s="31" t="s">
        <v>253</v>
      </c>
      <c r="F54" s="31" t="s">
        <v>254</v>
      </c>
      <c r="G54" s="36"/>
      <c r="H54" s="31" t="s">
        <v>84</v>
      </c>
      <c r="I54" s="36"/>
      <c r="J54" s="36"/>
      <c r="K54" s="40"/>
      <c r="L54" s="36"/>
      <c r="M54" s="36"/>
      <c r="N54" s="36"/>
      <c r="O54" s="36"/>
    </row>
    <row r="55" spans="1:15" ht="72">
      <c r="A55" s="43" t="s">
        <v>255</v>
      </c>
      <c r="B55" s="33"/>
      <c r="C55" s="33"/>
      <c r="D55" s="33"/>
      <c r="E55" s="33"/>
      <c r="F55" s="33"/>
      <c r="G55" s="33"/>
      <c r="H55" s="33"/>
      <c r="I55" s="33"/>
      <c r="J55" s="33"/>
      <c r="K55" s="30">
        <v>4</v>
      </c>
      <c r="L55" s="29" t="s">
        <v>82</v>
      </c>
      <c r="M55" s="43" t="s">
        <v>207</v>
      </c>
      <c r="N55" s="43" t="s">
        <v>234</v>
      </c>
      <c r="O55" s="29" t="s">
        <v>72</v>
      </c>
    </row>
    <row r="56" spans="1:15" ht="56.25">
      <c r="A56" s="36"/>
      <c r="B56" s="31" t="s">
        <v>235</v>
      </c>
      <c r="C56" s="31" t="s">
        <v>245</v>
      </c>
      <c r="D56" s="31" t="s">
        <v>256</v>
      </c>
      <c r="E56" s="31" t="s">
        <v>250</v>
      </c>
      <c r="F56" s="31" t="s">
        <v>248</v>
      </c>
      <c r="G56" s="36"/>
      <c r="H56" s="31" t="s">
        <v>57</v>
      </c>
      <c r="I56" s="36"/>
      <c r="J56" s="36"/>
      <c r="K56" s="40"/>
      <c r="L56" s="36"/>
      <c r="M56" s="36"/>
      <c r="N56" s="36"/>
      <c r="O56" s="36"/>
    </row>
    <row r="57" spans="1:15" ht="56.25">
      <c r="A57" s="36"/>
      <c r="B57" s="31" t="s">
        <v>240</v>
      </c>
      <c r="C57" s="31" t="s">
        <v>245</v>
      </c>
      <c r="D57" s="31" t="s">
        <v>257</v>
      </c>
      <c r="E57" s="31" t="s">
        <v>247</v>
      </c>
      <c r="F57" s="31" t="s">
        <v>248</v>
      </c>
      <c r="G57" s="36"/>
      <c r="H57" s="31" t="s">
        <v>57</v>
      </c>
      <c r="I57" s="36"/>
      <c r="J57" s="36"/>
      <c r="K57" s="40"/>
      <c r="L57" s="36"/>
      <c r="M57" s="36"/>
      <c r="N57" s="36"/>
      <c r="O57" s="36"/>
    </row>
    <row r="58" spans="1:15" ht="56.25">
      <c r="A58" s="36"/>
      <c r="B58" s="31" t="s">
        <v>258</v>
      </c>
      <c r="C58" s="31" t="s">
        <v>245</v>
      </c>
      <c r="D58" s="31" t="s">
        <v>259</v>
      </c>
      <c r="E58" s="31" t="s">
        <v>250</v>
      </c>
      <c r="F58" s="31" t="s">
        <v>248</v>
      </c>
      <c r="G58" s="36"/>
      <c r="H58" s="31" t="s">
        <v>57</v>
      </c>
      <c r="I58" s="36"/>
      <c r="J58" s="36"/>
      <c r="K58" s="40"/>
      <c r="L58" s="36"/>
      <c r="M58" s="36"/>
      <c r="N58" s="36"/>
      <c r="O58" s="36"/>
    </row>
    <row r="59" spans="1:15" ht="56.25">
      <c r="A59" s="36"/>
      <c r="B59" s="36"/>
      <c r="C59" s="31" t="s">
        <v>245</v>
      </c>
      <c r="D59" s="31" t="s">
        <v>260</v>
      </c>
      <c r="E59" s="31" t="s">
        <v>247</v>
      </c>
      <c r="F59" s="31" t="s">
        <v>248</v>
      </c>
      <c r="G59" s="36"/>
      <c r="H59" s="31" t="s">
        <v>57</v>
      </c>
      <c r="I59" s="36"/>
      <c r="J59" s="36"/>
      <c r="K59" s="40"/>
      <c r="L59" s="36"/>
      <c r="M59" s="36"/>
      <c r="N59" s="36"/>
      <c r="O59" s="36"/>
    </row>
    <row r="60" spans="1:15" ht="54">
      <c r="A60" s="44" t="s">
        <v>261</v>
      </c>
      <c r="B60" s="33"/>
      <c r="C60" s="33"/>
      <c r="D60" s="33"/>
      <c r="E60" s="33"/>
      <c r="F60" s="33"/>
      <c r="G60" s="33"/>
      <c r="H60" s="33"/>
      <c r="I60" s="33"/>
      <c r="J60" s="33"/>
      <c r="K60" s="30">
        <v>1</v>
      </c>
      <c r="L60" s="29" t="s">
        <v>61</v>
      </c>
      <c r="M60" s="43" t="s">
        <v>90</v>
      </c>
      <c r="N60" s="43" t="s">
        <v>262</v>
      </c>
      <c r="O60" s="29" t="s">
        <v>72</v>
      </c>
    </row>
    <row r="61" spans="1:15" ht="56.25">
      <c r="A61" s="36"/>
      <c r="B61" s="31" t="s">
        <v>263</v>
      </c>
      <c r="C61" s="31" t="s">
        <v>264</v>
      </c>
      <c r="D61" s="31" t="s">
        <v>265</v>
      </c>
      <c r="E61" s="31" t="s">
        <v>266</v>
      </c>
      <c r="F61" s="31" t="s">
        <v>267</v>
      </c>
      <c r="G61" s="36"/>
      <c r="H61" s="31" t="s">
        <v>57</v>
      </c>
      <c r="I61" s="36"/>
      <c r="J61" s="36"/>
      <c r="K61" s="40"/>
      <c r="L61" s="36"/>
      <c r="M61" s="36"/>
      <c r="N61" s="48"/>
      <c r="O61" s="36"/>
    </row>
    <row r="62" spans="1:15" ht="54">
      <c r="A62" s="43" t="s">
        <v>268</v>
      </c>
      <c r="B62" s="33"/>
      <c r="C62" s="33"/>
      <c r="D62" s="33"/>
      <c r="E62" s="33"/>
      <c r="F62" s="33"/>
      <c r="G62" s="33"/>
      <c r="H62" s="33"/>
      <c r="I62" s="33"/>
      <c r="J62" s="33"/>
      <c r="K62" s="30">
        <v>5</v>
      </c>
      <c r="L62" s="29" t="s">
        <v>60</v>
      </c>
      <c r="M62" s="43" t="s">
        <v>269</v>
      </c>
      <c r="N62" s="43" t="s">
        <v>270</v>
      </c>
      <c r="O62" s="29" t="s">
        <v>72</v>
      </c>
    </row>
    <row r="63" spans="1:15" ht="56.25">
      <c r="A63" s="36"/>
      <c r="B63" s="31" t="s">
        <v>271</v>
      </c>
      <c r="C63" s="31" t="s">
        <v>272</v>
      </c>
      <c r="D63" s="31" t="s">
        <v>273</v>
      </c>
      <c r="E63" s="31" t="s">
        <v>274</v>
      </c>
      <c r="F63" s="31" t="s">
        <v>275</v>
      </c>
      <c r="G63" s="36"/>
      <c r="H63" s="31" t="s">
        <v>57</v>
      </c>
      <c r="I63" s="36"/>
      <c r="J63" s="36"/>
      <c r="K63" s="40"/>
      <c r="L63" s="36"/>
      <c r="M63" s="36"/>
      <c r="N63" s="36"/>
      <c r="O63" s="36"/>
    </row>
    <row r="64" spans="1:15" ht="56.25">
      <c r="A64" s="36"/>
      <c r="B64" s="36"/>
      <c r="C64" s="31" t="s">
        <v>276</v>
      </c>
      <c r="D64" s="31" t="s">
        <v>277</v>
      </c>
      <c r="E64" s="31" t="s">
        <v>278</v>
      </c>
      <c r="F64" s="31" t="s">
        <v>279</v>
      </c>
      <c r="G64" s="36"/>
      <c r="H64" s="31" t="s">
        <v>57</v>
      </c>
      <c r="I64" s="36"/>
      <c r="J64" s="36"/>
      <c r="K64" s="40"/>
      <c r="L64" s="36"/>
      <c r="M64" s="36"/>
      <c r="N64" s="36"/>
      <c r="O64" s="36"/>
    </row>
    <row r="65" spans="1:15" ht="37.5">
      <c r="A65" s="36"/>
      <c r="B65" s="36"/>
      <c r="C65" s="31" t="s">
        <v>280</v>
      </c>
      <c r="D65" s="31" t="s">
        <v>281</v>
      </c>
      <c r="E65" s="31" t="s">
        <v>282</v>
      </c>
      <c r="F65" s="31" t="s">
        <v>283</v>
      </c>
      <c r="G65" s="36"/>
      <c r="H65" s="31" t="s">
        <v>57</v>
      </c>
      <c r="I65" s="36"/>
      <c r="J65" s="36"/>
      <c r="K65" s="40"/>
      <c r="L65" s="36"/>
      <c r="M65" s="36"/>
      <c r="N65" s="36"/>
      <c r="O65" s="36"/>
    </row>
    <row r="66" spans="1:15" ht="54">
      <c r="A66" s="36"/>
      <c r="B66" s="36"/>
      <c r="C66" s="31" t="s">
        <v>284</v>
      </c>
      <c r="D66" s="49" t="s">
        <v>285</v>
      </c>
      <c r="E66" s="31" t="s">
        <v>286</v>
      </c>
      <c r="F66" s="31" t="s">
        <v>267</v>
      </c>
      <c r="G66" s="36"/>
      <c r="H66" s="31" t="s">
        <v>57</v>
      </c>
      <c r="I66" s="36"/>
      <c r="J66" s="36"/>
      <c r="K66" s="40"/>
      <c r="L66" s="36"/>
      <c r="M66" s="36"/>
      <c r="N66" s="36"/>
      <c r="O66" s="36"/>
    </row>
    <row r="67" spans="1:15" ht="56.25">
      <c r="A67" s="45"/>
      <c r="B67" s="36"/>
      <c r="C67" s="31" t="s">
        <v>287</v>
      </c>
      <c r="D67" s="31" t="s">
        <v>288</v>
      </c>
      <c r="E67" s="31" t="s">
        <v>289</v>
      </c>
      <c r="F67" s="31" t="s">
        <v>290</v>
      </c>
      <c r="G67" s="31" t="s">
        <v>57</v>
      </c>
      <c r="H67" s="31" t="s">
        <v>57</v>
      </c>
      <c r="I67" s="36"/>
      <c r="J67" s="36"/>
      <c r="K67" s="42"/>
      <c r="L67" s="31"/>
      <c r="M67" s="45"/>
      <c r="N67" s="45"/>
      <c r="O67" s="36"/>
    </row>
    <row r="68" spans="1:15" ht="36">
      <c r="A68" s="43" t="s">
        <v>291</v>
      </c>
      <c r="B68" s="33"/>
      <c r="C68" s="33"/>
      <c r="D68" s="33"/>
      <c r="E68" s="33"/>
      <c r="F68" s="33"/>
      <c r="G68" s="33"/>
      <c r="H68" s="33"/>
      <c r="I68" s="33"/>
      <c r="J68" s="33"/>
      <c r="K68" s="30">
        <v>5</v>
      </c>
      <c r="L68" s="29" t="s">
        <v>82</v>
      </c>
      <c r="M68" s="43" t="s">
        <v>292</v>
      </c>
      <c r="N68" s="43" t="s">
        <v>270</v>
      </c>
      <c r="O68" s="29" t="s">
        <v>72</v>
      </c>
    </row>
    <row r="69" spans="1:15" ht="54">
      <c r="A69" s="36"/>
      <c r="B69" s="31" t="s">
        <v>293</v>
      </c>
      <c r="C69" s="45" t="s">
        <v>89</v>
      </c>
      <c r="D69" s="49" t="s">
        <v>294</v>
      </c>
      <c r="E69" s="31" t="s">
        <v>295</v>
      </c>
      <c r="F69" s="31" t="s">
        <v>79</v>
      </c>
      <c r="G69" s="36"/>
      <c r="H69" s="31" t="s">
        <v>57</v>
      </c>
      <c r="I69" s="36"/>
      <c r="J69" s="36"/>
      <c r="K69" s="40"/>
      <c r="L69" s="36"/>
      <c r="M69" s="36"/>
      <c r="N69" s="36"/>
      <c r="O69" s="36"/>
    </row>
    <row r="70" spans="1:15" ht="54">
      <c r="A70" s="36"/>
      <c r="B70" s="36"/>
      <c r="C70" s="45" t="s">
        <v>92</v>
      </c>
      <c r="D70" s="49" t="s">
        <v>296</v>
      </c>
      <c r="E70" s="31" t="s">
        <v>297</v>
      </c>
      <c r="F70" s="31" t="s">
        <v>81</v>
      </c>
      <c r="G70" s="36"/>
      <c r="H70" s="31" t="s">
        <v>57</v>
      </c>
      <c r="I70" s="36"/>
      <c r="J70" s="36"/>
      <c r="K70" s="40"/>
      <c r="L70" s="36"/>
      <c r="M70" s="36"/>
      <c r="N70" s="36"/>
      <c r="O70" s="36"/>
    </row>
    <row r="71" spans="1:15" ht="54">
      <c r="A71" s="36"/>
      <c r="B71" s="36"/>
      <c r="C71" s="45" t="s">
        <v>92</v>
      </c>
      <c r="D71" s="49" t="s">
        <v>298</v>
      </c>
      <c r="E71" s="31" t="s">
        <v>299</v>
      </c>
      <c r="F71" s="31" t="s">
        <v>81</v>
      </c>
      <c r="G71" s="36"/>
      <c r="H71" s="31" t="s">
        <v>57</v>
      </c>
      <c r="I71" s="36"/>
      <c r="J71" s="36"/>
      <c r="K71" s="40"/>
      <c r="L71" s="36"/>
      <c r="M71" s="36"/>
      <c r="N71" s="36"/>
      <c r="O71" s="36"/>
    </row>
    <row r="72" spans="1:15" ht="54">
      <c r="A72" s="36"/>
      <c r="B72" s="36"/>
      <c r="C72" s="45" t="s">
        <v>92</v>
      </c>
      <c r="D72" s="49" t="s">
        <v>300</v>
      </c>
      <c r="E72" s="31" t="s">
        <v>301</v>
      </c>
      <c r="F72" s="31" t="s">
        <v>81</v>
      </c>
      <c r="G72" s="36"/>
      <c r="H72" s="31" t="s">
        <v>57</v>
      </c>
      <c r="I72" s="36"/>
      <c r="J72" s="36"/>
      <c r="K72" s="40"/>
      <c r="L72" s="36"/>
      <c r="M72" s="36"/>
      <c r="N72" s="36"/>
      <c r="O72" s="36"/>
    </row>
    <row r="73" spans="1:15" ht="56.25">
      <c r="A73" s="36"/>
      <c r="B73" s="36"/>
      <c r="C73" s="45" t="s">
        <v>94</v>
      </c>
      <c r="D73" s="31" t="s">
        <v>302</v>
      </c>
      <c r="E73" s="31" t="s">
        <v>303</v>
      </c>
      <c r="F73" s="31" t="s">
        <v>87</v>
      </c>
      <c r="G73" s="36"/>
      <c r="H73" s="31" t="s">
        <v>57</v>
      </c>
      <c r="I73" s="36"/>
      <c r="J73" s="36"/>
      <c r="K73" s="40"/>
      <c r="L73" s="36"/>
      <c r="M73" s="36"/>
      <c r="N73" s="36"/>
      <c r="O73" s="36"/>
    </row>
    <row r="74" spans="1:15" ht="36">
      <c r="A74" s="43" t="s">
        <v>304</v>
      </c>
      <c r="B74" s="29" t="s">
        <v>305</v>
      </c>
      <c r="C74" s="33"/>
      <c r="D74" s="33"/>
      <c r="E74" s="33"/>
      <c r="F74" s="33"/>
      <c r="G74" s="33"/>
      <c r="H74" s="33"/>
      <c r="I74" s="33"/>
      <c r="J74" s="33"/>
      <c r="K74" s="30">
        <v>4</v>
      </c>
      <c r="L74" s="29" t="s">
        <v>58</v>
      </c>
      <c r="M74" s="43" t="s">
        <v>74</v>
      </c>
      <c r="N74" s="43" t="s">
        <v>270</v>
      </c>
      <c r="O74" s="29" t="s">
        <v>72</v>
      </c>
    </row>
    <row r="75" spans="1:15" ht="54">
      <c r="A75" s="36"/>
      <c r="B75" s="36"/>
      <c r="C75" s="45" t="s">
        <v>306</v>
      </c>
      <c r="D75" s="49" t="s">
        <v>307</v>
      </c>
      <c r="E75" s="49" t="s">
        <v>308</v>
      </c>
      <c r="F75" s="31" t="s">
        <v>309</v>
      </c>
      <c r="G75" s="36"/>
      <c r="H75" s="31" t="s">
        <v>57</v>
      </c>
      <c r="I75" s="36"/>
      <c r="J75" s="36"/>
      <c r="K75" s="40"/>
      <c r="L75" s="36"/>
      <c r="M75" s="36"/>
      <c r="N75" s="36"/>
      <c r="O75" s="36"/>
    </row>
    <row r="76" spans="1:15" ht="54">
      <c r="A76" s="36"/>
      <c r="B76" s="36"/>
      <c r="C76" s="45" t="s">
        <v>310</v>
      </c>
      <c r="D76" s="49" t="s">
        <v>311</v>
      </c>
      <c r="E76" s="31" t="s">
        <v>312</v>
      </c>
      <c r="F76" s="31" t="s">
        <v>91</v>
      </c>
      <c r="G76" s="36"/>
      <c r="H76" s="31" t="s">
        <v>57</v>
      </c>
      <c r="I76" s="36"/>
      <c r="J76" s="36"/>
      <c r="K76" s="40"/>
      <c r="L76" s="36"/>
      <c r="M76" s="36"/>
      <c r="N76" s="36"/>
      <c r="O76" s="36"/>
    </row>
    <row r="77" spans="1:15" ht="54">
      <c r="A77" s="36"/>
      <c r="B77" s="36"/>
      <c r="C77" s="45" t="s">
        <v>313</v>
      </c>
      <c r="D77" s="49" t="s">
        <v>314</v>
      </c>
      <c r="E77" s="31" t="s">
        <v>315</v>
      </c>
      <c r="F77" s="31" t="s">
        <v>91</v>
      </c>
      <c r="G77" s="36"/>
      <c r="H77" s="31" t="s">
        <v>57</v>
      </c>
      <c r="I77" s="36"/>
      <c r="J77" s="36"/>
      <c r="K77" s="40"/>
      <c r="L77" s="36"/>
      <c r="M77" s="36"/>
      <c r="N77" s="36"/>
      <c r="O77" s="36"/>
    </row>
    <row r="78" spans="1:15" ht="36">
      <c r="A78" s="43" t="s">
        <v>316</v>
      </c>
      <c r="B78" s="33"/>
      <c r="C78" s="50"/>
      <c r="D78" s="33"/>
      <c r="E78" s="33"/>
      <c r="F78" s="33"/>
      <c r="G78" s="33"/>
      <c r="H78" s="33"/>
      <c r="I78" s="33"/>
      <c r="J78" s="33"/>
      <c r="K78" s="30">
        <v>10</v>
      </c>
      <c r="L78" s="29" t="s">
        <v>68</v>
      </c>
      <c r="M78" s="43" t="s">
        <v>317</v>
      </c>
      <c r="N78" s="43" t="s">
        <v>270</v>
      </c>
      <c r="O78" s="29" t="s">
        <v>72</v>
      </c>
    </row>
    <row r="79" spans="1:15" ht="54">
      <c r="A79" s="36"/>
      <c r="B79" s="31" t="s">
        <v>318</v>
      </c>
      <c r="C79" s="45" t="s">
        <v>319</v>
      </c>
      <c r="D79" s="49" t="s">
        <v>320</v>
      </c>
      <c r="E79" s="49" t="s">
        <v>321</v>
      </c>
      <c r="F79" s="31" t="s">
        <v>322</v>
      </c>
      <c r="G79" s="36"/>
      <c r="H79" s="31" t="s">
        <v>57</v>
      </c>
      <c r="I79" s="36"/>
      <c r="J79" s="36"/>
      <c r="K79" s="40"/>
      <c r="L79" s="36"/>
      <c r="M79" s="36"/>
      <c r="N79" s="36"/>
      <c r="O79" s="36"/>
    </row>
    <row r="80" spans="1:15" ht="36">
      <c r="A80" s="36"/>
      <c r="B80" s="36"/>
      <c r="C80" s="45" t="s">
        <v>323</v>
      </c>
      <c r="D80" s="49" t="s">
        <v>324</v>
      </c>
      <c r="E80" s="49" t="s">
        <v>325</v>
      </c>
      <c r="F80" s="31" t="s">
        <v>326</v>
      </c>
      <c r="G80" s="36"/>
      <c r="H80" s="31" t="s">
        <v>57</v>
      </c>
      <c r="I80" s="36"/>
      <c r="J80" s="36"/>
      <c r="K80" s="40"/>
      <c r="L80" s="36"/>
      <c r="M80" s="36"/>
      <c r="N80" s="36"/>
      <c r="O80" s="36"/>
    </row>
    <row r="81" spans="1:15" ht="54">
      <c r="A81" s="36"/>
      <c r="B81" s="36"/>
      <c r="C81" s="45" t="s">
        <v>327</v>
      </c>
      <c r="D81" s="49" t="s">
        <v>328</v>
      </c>
      <c r="E81" s="49" t="s">
        <v>329</v>
      </c>
      <c r="F81" s="31" t="s">
        <v>330</v>
      </c>
      <c r="G81" s="36"/>
      <c r="H81" s="31" t="s">
        <v>57</v>
      </c>
      <c r="I81" s="36"/>
      <c r="J81" s="36"/>
      <c r="K81" s="40"/>
      <c r="L81" s="36"/>
      <c r="M81" s="36"/>
      <c r="N81" s="36"/>
      <c r="O81" s="36"/>
    </row>
    <row r="82" spans="1:15" ht="54">
      <c r="A82" s="36"/>
      <c r="B82" s="36"/>
      <c r="C82" s="46" t="s">
        <v>331</v>
      </c>
      <c r="D82" s="49" t="s">
        <v>332</v>
      </c>
      <c r="E82" s="49" t="s">
        <v>333</v>
      </c>
      <c r="F82" s="31" t="s">
        <v>334</v>
      </c>
      <c r="G82" s="36"/>
      <c r="H82" s="31" t="s">
        <v>57</v>
      </c>
      <c r="I82" s="36"/>
      <c r="J82" s="36"/>
      <c r="K82" s="40"/>
      <c r="L82" s="36"/>
      <c r="M82" s="36"/>
      <c r="N82" s="36"/>
      <c r="O82" s="36"/>
    </row>
    <row r="83" spans="1:15" ht="54">
      <c r="A83" s="36"/>
      <c r="B83" s="36"/>
      <c r="C83" s="45" t="s">
        <v>335</v>
      </c>
      <c r="D83" s="49" t="s">
        <v>336</v>
      </c>
      <c r="E83" s="49" t="s">
        <v>337</v>
      </c>
      <c r="F83" s="31" t="s">
        <v>338</v>
      </c>
      <c r="G83" s="36"/>
      <c r="H83" s="31" t="s">
        <v>57</v>
      </c>
      <c r="I83" s="36"/>
      <c r="J83" s="36"/>
      <c r="K83" s="40"/>
      <c r="L83" s="36"/>
      <c r="M83" s="36"/>
      <c r="N83" s="36"/>
      <c r="O83" s="36"/>
    </row>
    <row r="84" spans="1:15" ht="54">
      <c r="A84" s="36"/>
      <c r="B84" s="36"/>
      <c r="C84" s="45" t="s">
        <v>339</v>
      </c>
      <c r="D84" s="49" t="s">
        <v>340</v>
      </c>
      <c r="E84" s="49" t="s">
        <v>341</v>
      </c>
      <c r="F84" s="31" t="s">
        <v>342</v>
      </c>
      <c r="G84" s="36"/>
      <c r="H84" s="31" t="s">
        <v>57</v>
      </c>
      <c r="I84" s="36"/>
      <c r="J84" s="36"/>
      <c r="K84" s="40"/>
      <c r="L84" s="36"/>
      <c r="M84" s="36"/>
      <c r="N84" s="36"/>
      <c r="O84" s="36"/>
    </row>
    <row r="85" spans="1:15" ht="54">
      <c r="A85" s="36"/>
      <c r="B85" s="36"/>
      <c r="C85" s="45" t="s">
        <v>343</v>
      </c>
      <c r="D85" s="49" t="s">
        <v>344</v>
      </c>
      <c r="E85" s="31" t="s">
        <v>345</v>
      </c>
      <c r="F85" s="31" t="s">
        <v>346</v>
      </c>
      <c r="G85" s="36"/>
      <c r="H85" s="31" t="s">
        <v>57</v>
      </c>
      <c r="I85" s="36"/>
      <c r="J85" s="36"/>
      <c r="K85" s="40"/>
      <c r="L85" s="36"/>
      <c r="M85" s="36"/>
      <c r="N85" s="36"/>
      <c r="O85" s="36"/>
    </row>
    <row r="86" spans="1:15" ht="41.25" customHeight="1">
      <c r="A86" s="36"/>
      <c r="B86" s="36"/>
      <c r="C86" s="45" t="s">
        <v>347</v>
      </c>
      <c r="D86" s="49" t="s">
        <v>348</v>
      </c>
      <c r="E86" s="31" t="s">
        <v>349</v>
      </c>
      <c r="F86" s="31" t="s">
        <v>350</v>
      </c>
      <c r="G86" s="36"/>
      <c r="H86" s="31" t="s">
        <v>57</v>
      </c>
      <c r="I86" s="36"/>
      <c r="J86" s="36"/>
      <c r="K86" s="40"/>
      <c r="L86" s="36"/>
      <c r="M86" s="36"/>
      <c r="N86" s="36"/>
      <c r="O86" s="36"/>
    </row>
    <row r="87" spans="1:15" ht="54">
      <c r="A87" s="36"/>
      <c r="B87" s="36"/>
      <c r="C87" s="45" t="s">
        <v>351</v>
      </c>
      <c r="D87" s="49" t="s">
        <v>352</v>
      </c>
      <c r="E87" s="31" t="s">
        <v>353</v>
      </c>
      <c r="F87" s="31" t="s">
        <v>354</v>
      </c>
      <c r="G87" s="36"/>
      <c r="H87" s="31" t="s">
        <v>57</v>
      </c>
      <c r="I87" s="36"/>
      <c r="J87" s="36"/>
      <c r="K87" s="42"/>
      <c r="L87" s="36"/>
      <c r="M87" s="36"/>
      <c r="N87" s="36"/>
      <c r="O87" s="36"/>
    </row>
    <row r="88" spans="1:15" ht="54">
      <c r="A88" s="36"/>
      <c r="B88" s="36"/>
      <c r="C88" s="45" t="s">
        <v>355</v>
      </c>
      <c r="D88" s="49" t="s">
        <v>356</v>
      </c>
      <c r="E88" s="31" t="s">
        <v>357</v>
      </c>
      <c r="F88" s="31" t="s">
        <v>358</v>
      </c>
      <c r="G88" s="36"/>
      <c r="H88" s="31" t="s">
        <v>57</v>
      </c>
      <c r="I88" s="36"/>
      <c r="J88" s="36"/>
      <c r="K88" s="42"/>
      <c r="L88" s="36"/>
      <c r="M88" s="36"/>
      <c r="N88" s="36"/>
      <c r="O88" s="36"/>
    </row>
    <row r="89" spans="1:15" ht="36">
      <c r="A89" s="43" t="s">
        <v>359</v>
      </c>
      <c r="B89" s="33"/>
      <c r="C89" s="33"/>
      <c r="D89" s="33"/>
      <c r="E89" s="33"/>
      <c r="F89" s="33"/>
      <c r="G89" s="33"/>
      <c r="H89" s="33"/>
      <c r="I89" s="33"/>
      <c r="J89" s="33"/>
      <c r="K89" s="30">
        <v>4</v>
      </c>
      <c r="L89" s="29" t="s">
        <v>65</v>
      </c>
      <c r="M89" s="43" t="s">
        <v>360</v>
      </c>
      <c r="N89" s="43" t="s">
        <v>270</v>
      </c>
      <c r="O89" s="29" t="s">
        <v>72</v>
      </c>
    </row>
    <row r="90" spans="1:15" ht="54">
      <c r="A90" s="36"/>
      <c r="B90" s="51" t="s">
        <v>361</v>
      </c>
      <c r="C90" s="45" t="s">
        <v>362</v>
      </c>
      <c r="D90" s="49" t="s">
        <v>363</v>
      </c>
      <c r="E90" s="31" t="s">
        <v>353</v>
      </c>
      <c r="F90" s="31" t="s">
        <v>354</v>
      </c>
      <c r="G90" s="31" t="s">
        <v>57</v>
      </c>
      <c r="H90" s="31" t="s">
        <v>57</v>
      </c>
      <c r="I90" s="36"/>
      <c r="J90" s="36"/>
      <c r="K90" s="40"/>
      <c r="L90" s="36"/>
      <c r="M90" s="36"/>
      <c r="N90" s="36"/>
      <c r="O90" s="36"/>
    </row>
    <row r="91" spans="1:15" ht="54">
      <c r="A91" s="36"/>
      <c r="B91" s="36"/>
      <c r="C91" s="45" t="s">
        <v>98</v>
      </c>
      <c r="D91" s="49" t="s">
        <v>364</v>
      </c>
      <c r="E91" s="49" t="s">
        <v>365</v>
      </c>
      <c r="F91" s="31" t="s">
        <v>95</v>
      </c>
      <c r="G91" s="31" t="s">
        <v>57</v>
      </c>
      <c r="H91" s="31" t="s">
        <v>57</v>
      </c>
      <c r="I91" s="36"/>
      <c r="J91" s="36"/>
      <c r="K91" s="40"/>
      <c r="L91" s="36"/>
      <c r="M91" s="36"/>
      <c r="N91" s="36"/>
      <c r="O91" s="36"/>
    </row>
    <row r="92" spans="1:15" ht="54">
      <c r="A92" s="36"/>
      <c r="B92" s="36"/>
      <c r="C92" s="45" t="s">
        <v>366</v>
      </c>
      <c r="D92" s="49" t="s">
        <v>367</v>
      </c>
      <c r="E92" s="31" t="s">
        <v>368</v>
      </c>
      <c r="F92" s="31" t="s">
        <v>369</v>
      </c>
      <c r="G92" s="31" t="s">
        <v>57</v>
      </c>
      <c r="H92" s="31" t="s">
        <v>57</v>
      </c>
      <c r="I92" s="36"/>
      <c r="J92" s="36"/>
      <c r="K92" s="40"/>
      <c r="L92" s="36"/>
      <c r="M92" s="36"/>
      <c r="N92" s="36"/>
      <c r="O92" s="36"/>
    </row>
    <row r="93" spans="1:15" ht="54">
      <c r="A93" s="36"/>
      <c r="B93" s="31"/>
      <c r="C93" s="45" t="s">
        <v>370</v>
      </c>
      <c r="D93" s="49" t="s">
        <v>371</v>
      </c>
      <c r="E93" s="49" t="s">
        <v>372</v>
      </c>
      <c r="F93" s="31" t="s">
        <v>373</v>
      </c>
      <c r="G93" s="31" t="s">
        <v>57</v>
      </c>
      <c r="H93" s="31" t="s">
        <v>57</v>
      </c>
      <c r="I93" s="36"/>
      <c r="J93" s="36"/>
      <c r="K93" s="40"/>
      <c r="L93" s="36"/>
      <c r="M93" s="36"/>
      <c r="N93" s="36"/>
      <c r="O93" s="36"/>
    </row>
    <row r="94" spans="1:15" ht="54">
      <c r="A94" s="36"/>
      <c r="B94" s="36"/>
      <c r="C94" s="45" t="s">
        <v>374</v>
      </c>
      <c r="D94" s="49" t="s">
        <v>375</v>
      </c>
      <c r="E94" s="31" t="s">
        <v>376</v>
      </c>
      <c r="F94" s="31" t="s">
        <v>377</v>
      </c>
      <c r="G94" s="31" t="s">
        <v>57</v>
      </c>
      <c r="H94" s="31" t="s">
        <v>57</v>
      </c>
      <c r="I94" s="36"/>
      <c r="J94" s="36"/>
      <c r="K94" s="40"/>
      <c r="L94" s="36"/>
      <c r="M94" s="36"/>
      <c r="N94" s="36"/>
      <c r="O94" s="36"/>
    </row>
    <row r="95" spans="1:15" ht="54">
      <c r="A95" s="36"/>
      <c r="B95" s="36"/>
      <c r="C95" s="45" t="s">
        <v>374</v>
      </c>
      <c r="D95" s="49" t="s">
        <v>378</v>
      </c>
      <c r="E95" s="31" t="s">
        <v>379</v>
      </c>
      <c r="F95" s="31" t="s">
        <v>377</v>
      </c>
      <c r="G95" s="31" t="s">
        <v>57</v>
      </c>
      <c r="H95" s="31" t="s">
        <v>380</v>
      </c>
      <c r="I95" s="36"/>
      <c r="J95" s="36"/>
      <c r="K95" s="40"/>
      <c r="L95" s="36"/>
      <c r="M95" s="36"/>
      <c r="N95" s="36"/>
      <c r="O95" s="36"/>
    </row>
    <row r="96" spans="1:15" ht="36">
      <c r="A96" s="43" t="s">
        <v>381</v>
      </c>
      <c r="B96" s="33"/>
      <c r="C96" s="33"/>
      <c r="D96" s="33"/>
      <c r="E96" s="33"/>
      <c r="F96" s="33"/>
      <c r="G96" s="33"/>
      <c r="H96" s="33"/>
      <c r="I96" s="33"/>
      <c r="J96" s="33"/>
      <c r="K96" s="30">
        <v>1</v>
      </c>
      <c r="L96" s="29" t="s">
        <v>71</v>
      </c>
      <c r="M96" s="43" t="s">
        <v>382</v>
      </c>
      <c r="N96" s="43" t="s">
        <v>270</v>
      </c>
      <c r="O96" s="29" t="s">
        <v>72</v>
      </c>
    </row>
    <row r="97" spans="1:15" ht="54">
      <c r="A97" s="36"/>
      <c r="B97" s="31" t="s">
        <v>383</v>
      </c>
      <c r="C97" s="45" t="s">
        <v>168</v>
      </c>
      <c r="D97" s="49" t="s">
        <v>384</v>
      </c>
      <c r="E97" s="31" t="s">
        <v>385</v>
      </c>
      <c r="F97" s="31" t="s">
        <v>171</v>
      </c>
      <c r="G97" s="36"/>
      <c r="H97" s="31" t="s">
        <v>57</v>
      </c>
      <c r="I97" s="36"/>
      <c r="J97" s="36"/>
      <c r="K97" s="40"/>
      <c r="L97" s="36"/>
      <c r="M97" s="36"/>
      <c r="N97" s="36"/>
      <c r="O97" s="36"/>
    </row>
    <row r="98" spans="1:15" ht="37.5">
      <c r="A98" s="36"/>
      <c r="B98" s="48"/>
      <c r="C98" s="45" t="s">
        <v>386</v>
      </c>
      <c r="D98" s="49" t="s">
        <v>387</v>
      </c>
      <c r="E98" s="31" t="s">
        <v>388</v>
      </c>
      <c r="F98" s="31" t="s">
        <v>389</v>
      </c>
      <c r="G98" s="36"/>
      <c r="H98" s="31" t="s">
        <v>57</v>
      </c>
      <c r="I98" s="36"/>
      <c r="J98" s="36"/>
      <c r="K98" s="40"/>
      <c r="L98" s="36"/>
      <c r="M98" s="36"/>
      <c r="N98" s="36"/>
      <c r="O98" s="36"/>
    </row>
    <row r="99" spans="1:15" ht="54">
      <c r="A99" s="45"/>
      <c r="B99" s="36"/>
      <c r="C99" s="45" t="s">
        <v>168</v>
      </c>
      <c r="D99" s="49" t="s">
        <v>390</v>
      </c>
      <c r="E99" s="31" t="s">
        <v>391</v>
      </c>
      <c r="F99" s="31" t="s">
        <v>171</v>
      </c>
      <c r="G99" s="36"/>
      <c r="H99" s="31" t="s">
        <v>57</v>
      </c>
      <c r="I99" s="36"/>
      <c r="J99" s="36"/>
      <c r="K99" s="42"/>
      <c r="L99" s="31"/>
      <c r="M99" s="45"/>
      <c r="N99" s="45"/>
      <c r="O99" s="36"/>
    </row>
    <row r="100" spans="1:15" ht="54">
      <c r="A100" s="45"/>
      <c r="B100" s="36"/>
      <c r="C100" s="45" t="s">
        <v>168</v>
      </c>
      <c r="D100" s="49" t="s">
        <v>392</v>
      </c>
      <c r="E100" s="31" t="s">
        <v>393</v>
      </c>
      <c r="F100" s="31" t="s">
        <v>171</v>
      </c>
      <c r="G100" s="36"/>
      <c r="H100" s="31" t="s">
        <v>57</v>
      </c>
      <c r="I100" s="36"/>
      <c r="J100" s="36"/>
      <c r="K100" s="42"/>
      <c r="L100" s="31"/>
      <c r="M100" s="45"/>
      <c r="N100" s="45"/>
      <c r="O100" s="36"/>
    </row>
    <row r="101" spans="1:15" ht="36">
      <c r="A101" s="43" t="s">
        <v>394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0">
        <v>4</v>
      </c>
      <c r="L101" s="29" t="s">
        <v>85</v>
      </c>
      <c r="M101" s="43" t="s">
        <v>395</v>
      </c>
      <c r="N101" s="43" t="s">
        <v>270</v>
      </c>
      <c r="O101" s="29" t="s">
        <v>72</v>
      </c>
    </row>
    <row r="102" spans="1:15" ht="54">
      <c r="A102" s="36"/>
      <c r="B102" s="31" t="s">
        <v>396</v>
      </c>
      <c r="C102" s="45" t="s">
        <v>397</v>
      </c>
      <c r="D102" s="49" t="s">
        <v>398</v>
      </c>
      <c r="E102" s="31" t="s">
        <v>399</v>
      </c>
      <c r="F102" s="31" t="s">
        <v>400</v>
      </c>
      <c r="G102" s="31" t="s">
        <v>57</v>
      </c>
      <c r="H102" s="31" t="s">
        <v>57</v>
      </c>
      <c r="I102" s="36"/>
      <c r="J102" s="36"/>
      <c r="K102" s="40"/>
      <c r="L102" s="36"/>
      <c r="M102" s="36"/>
      <c r="N102" s="36"/>
      <c r="O102" s="36"/>
    </row>
    <row r="103" spans="1:15" ht="54">
      <c r="A103" s="36"/>
      <c r="B103" s="36"/>
      <c r="C103" s="45" t="s">
        <v>401</v>
      </c>
      <c r="D103" s="49" t="s">
        <v>402</v>
      </c>
      <c r="E103" s="31" t="s">
        <v>403</v>
      </c>
      <c r="F103" s="31" t="s">
        <v>404</v>
      </c>
      <c r="G103" s="31" t="s">
        <v>57</v>
      </c>
      <c r="H103" s="31" t="s">
        <v>57</v>
      </c>
      <c r="I103" s="36"/>
      <c r="J103" s="36"/>
      <c r="K103" s="40"/>
      <c r="L103" s="36"/>
      <c r="M103" s="36"/>
      <c r="N103" s="36"/>
      <c r="O103" s="36"/>
    </row>
    <row r="104" spans="1:15" ht="37.5">
      <c r="A104" s="36"/>
      <c r="B104" s="36"/>
      <c r="C104" s="45" t="s">
        <v>405</v>
      </c>
      <c r="D104" s="31" t="s">
        <v>406</v>
      </c>
      <c r="E104" s="31" t="s">
        <v>407</v>
      </c>
      <c r="F104" s="31" t="s">
        <v>408</v>
      </c>
      <c r="G104" s="36"/>
      <c r="H104" s="31" t="s">
        <v>57</v>
      </c>
      <c r="I104" s="36"/>
      <c r="J104" s="36"/>
      <c r="K104" s="40"/>
      <c r="L104" s="36"/>
      <c r="M104" s="36"/>
      <c r="N104" s="36"/>
      <c r="O104" s="36"/>
    </row>
    <row r="105" spans="1:15" ht="18.75">
      <c r="A105" s="36"/>
      <c r="B105" s="36"/>
      <c r="C105" s="52" t="s">
        <v>409</v>
      </c>
      <c r="D105" s="54" t="s">
        <v>410</v>
      </c>
      <c r="E105" s="31" t="s">
        <v>411</v>
      </c>
      <c r="F105" s="54" t="s">
        <v>412</v>
      </c>
      <c r="G105" s="36"/>
      <c r="H105" s="31" t="s">
        <v>57</v>
      </c>
      <c r="I105" s="36"/>
      <c r="J105" s="36"/>
      <c r="K105" s="40"/>
      <c r="L105" s="36"/>
      <c r="M105" s="36"/>
      <c r="N105" s="36"/>
      <c r="O105" s="36"/>
    </row>
    <row r="106" spans="1:15" ht="18.75">
      <c r="A106" s="36"/>
      <c r="B106" s="36"/>
      <c r="C106" s="53"/>
      <c r="D106" s="53"/>
      <c r="E106" s="31" t="s">
        <v>413</v>
      </c>
      <c r="F106" s="53"/>
      <c r="G106" s="36"/>
      <c r="H106" s="31" t="s">
        <v>57</v>
      </c>
      <c r="I106" s="36"/>
      <c r="J106" s="36"/>
      <c r="K106" s="40"/>
      <c r="L106" s="36"/>
      <c r="M106" s="36"/>
      <c r="N106" s="36"/>
      <c r="O106" s="36"/>
    </row>
    <row r="107" spans="1:15" ht="36">
      <c r="A107" s="43" t="s">
        <v>414</v>
      </c>
      <c r="B107" s="33"/>
      <c r="C107" s="33"/>
      <c r="D107" s="33"/>
      <c r="F107" s="33"/>
      <c r="G107" s="33"/>
      <c r="H107" s="33"/>
      <c r="I107" s="33"/>
      <c r="J107" s="33"/>
      <c r="K107" s="30">
        <v>2</v>
      </c>
      <c r="L107" s="29" t="s">
        <v>63</v>
      </c>
      <c r="M107" s="43" t="s">
        <v>415</v>
      </c>
      <c r="N107" s="43" t="s">
        <v>270</v>
      </c>
      <c r="O107" s="29" t="s">
        <v>72</v>
      </c>
    </row>
    <row r="108" spans="1:15" ht="54">
      <c r="A108" s="36"/>
      <c r="B108" s="31" t="s">
        <v>416</v>
      </c>
      <c r="C108" s="45" t="s">
        <v>168</v>
      </c>
      <c r="D108" s="49" t="s">
        <v>384</v>
      </c>
      <c r="E108" s="31" t="s">
        <v>385</v>
      </c>
      <c r="F108" s="31" t="s">
        <v>171</v>
      </c>
      <c r="G108" s="36"/>
      <c r="H108" s="31" t="s">
        <v>57</v>
      </c>
      <c r="I108" s="36"/>
      <c r="J108" s="36"/>
      <c r="K108" s="40"/>
      <c r="L108" s="36"/>
      <c r="M108" s="36"/>
      <c r="N108" s="36"/>
      <c r="O108" s="36"/>
    </row>
    <row r="109" spans="1:15" ht="37.5">
      <c r="A109" s="36"/>
      <c r="B109" s="36"/>
      <c r="C109" s="45" t="s">
        <v>386</v>
      </c>
      <c r="D109" s="49" t="s">
        <v>417</v>
      </c>
      <c r="E109" s="31" t="s">
        <v>388</v>
      </c>
      <c r="F109" s="31" t="s">
        <v>389</v>
      </c>
      <c r="G109" s="36"/>
      <c r="H109" s="31" t="s">
        <v>57</v>
      </c>
      <c r="I109" s="36"/>
      <c r="J109" s="36"/>
      <c r="K109" s="40"/>
      <c r="L109" s="36"/>
      <c r="M109" s="36"/>
      <c r="N109" s="36"/>
      <c r="O109" s="36"/>
    </row>
    <row r="110" spans="1:15" ht="54">
      <c r="A110" s="45"/>
      <c r="B110" s="36"/>
      <c r="C110" s="45" t="s">
        <v>168</v>
      </c>
      <c r="D110" s="49" t="s">
        <v>418</v>
      </c>
      <c r="E110" s="31" t="s">
        <v>391</v>
      </c>
      <c r="F110" s="31" t="s">
        <v>171</v>
      </c>
      <c r="G110" s="36"/>
      <c r="H110" s="31" t="s">
        <v>57</v>
      </c>
      <c r="I110" s="36"/>
      <c r="J110" s="36"/>
      <c r="K110" s="42"/>
      <c r="L110" s="31"/>
      <c r="M110" s="45"/>
      <c r="N110" s="45"/>
      <c r="O110" s="31"/>
    </row>
    <row r="111" spans="1:15" ht="54">
      <c r="A111" s="45"/>
      <c r="B111" s="36"/>
      <c r="C111" s="45" t="s">
        <v>168</v>
      </c>
      <c r="D111" s="49" t="s">
        <v>392</v>
      </c>
      <c r="E111" s="31" t="s">
        <v>419</v>
      </c>
      <c r="F111" s="31" t="s">
        <v>171</v>
      </c>
      <c r="G111" s="36"/>
      <c r="H111" s="31" t="s">
        <v>57</v>
      </c>
      <c r="I111" s="36"/>
      <c r="J111" s="36"/>
      <c r="K111" s="42"/>
      <c r="L111" s="31"/>
      <c r="M111" s="45"/>
      <c r="N111" s="45"/>
      <c r="O111" s="31"/>
    </row>
    <row r="112" spans="1:15" ht="54">
      <c r="A112" s="43" t="s">
        <v>420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0">
        <v>1</v>
      </c>
      <c r="L112" s="29" t="s">
        <v>75</v>
      </c>
      <c r="M112" s="43" t="s">
        <v>93</v>
      </c>
      <c r="N112" s="43" t="s">
        <v>270</v>
      </c>
      <c r="O112" s="29" t="s">
        <v>72</v>
      </c>
    </row>
    <row r="113" spans="1:15" ht="56.25">
      <c r="A113" s="36"/>
      <c r="B113" s="31" t="s">
        <v>421</v>
      </c>
      <c r="C113" s="31" t="s">
        <v>422</v>
      </c>
      <c r="D113" s="31" t="s">
        <v>423</v>
      </c>
      <c r="E113" s="31" t="s">
        <v>424</v>
      </c>
      <c r="F113" s="31" t="s">
        <v>425</v>
      </c>
      <c r="G113" s="31" t="s">
        <v>57</v>
      </c>
      <c r="H113" s="31" t="s">
        <v>57</v>
      </c>
      <c r="I113" s="36"/>
      <c r="J113" s="36"/>
      <c r="K113" s="40"/>
      <c r="L113" s="36"/>
      <c r="M113" s="36"/>
      <c r="N113" s="36"/>
      <c r="O113" s="36"/>
    </row>
    <row r="114" spans="1:15" ht="54">
      <c r="A114" s="43" t="s">
        <v>426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0">
        <v>5</v>
      </c>
      <c r="L114" s="29" t="s">
        <v>86</v>
      </c>
      <c r="M114" s="43" t="s">
        <v>427</v>
      </c>
      <c r="N114" s="43" t="s">
        <v>270</v>
      </c>
      <c r="O114" s="29" t="s">
        <v>72</v>
      </c>
    </row>
    <row r="115" spans="1:15" ht="56.25">
      <c r="A115" s="36"/>
      <c r="B115" s="31" t="s">
        <v>428</v>
      </c>
      <c r="C115" s="31" t="s">
        <v>429</v>
      </c>
      <c r="D115" s="31" t="s">
        <v>430</v>
      </c>
      <c r="E115" s="31" t="s">
        <v>431</v>
      </c>
      <c r="F115" s="31" t="s">
        <v>432</v>
      </c>
      <c r="G115" s="36"/>
      <c r="H115" s="31" t="s">
        <v>57</v>
      </c>
      <c r="I115" s="36"/>
      <c r="J115" s="36"/>
      <c r="K115" s="40"/>
      <c r="L115" s="36"/>
      <c r="M115" s="36"/>
      <c r="N115" s="36"/>
      <c r="O115" s="36"/>
    </row>
    <row r="116" spans="1:15" ht="56.25">
      <c r="A116" s="36"/>
      <c r="B116" s="36"/>
      <c r="C116" s="31" t="s">
        <v>433</v>
      </c>
      <c r="D116" s="31" t="s">
        <v>434</v>
      </c>
      <c r="E116" s="31" t="s">
        <v>435</v>
      </c>
      <c r="F116" s="31" t="s">
        <v>436</v>
      </c>
      <c r="G116" s="36"/>
      <c r="H116" s="31" t="s">
        <v>57</v>
      </c>
      <c r="I116" s="36"/>
      <c r="J116" s="36"/>
      <c r="K116" s="40"/>
      <c r="L116" s="36"/>
      <c r="M116" s="36"/>
      <c r="N116" s="36"/>
      <c r="O116" s="36"/>
    </row>
    <row r="117" spans="1:15" ht="56.25">
      <c r="A117" s="36"/>
      <c r="B117" s="36"/>
      <c r="C117" s="31" t="s">
        <v>437</v>
      </c>
      <c r="D117" s="31" t="s">
        <v>438</v>
      </c>
      <c r="E117" s="31" t="s">
        <v>439</v>
      </c>
      <c r="F117" s="31" t="s">
        <v>440</v>
      </c>
      <c r="G117" s="36"/>
      <c r="H117" s="31" t="s">
        <v>57</v>
      </c>
      <c r="I117" s="36"/>
      <c r="J117" s="36"/>
      <c r="K117" s="40"/>
      <c r="L117" s="36"/>
      <c r="M117" s="36"/>
      <c r="N117" s="36"/>
      <c r="O117" s="36"/>
    </row>
    <row r="118" spans="1:15" ht="56.25">
      <c r="A118" s="36"/>
      <c r="B118" s="36"/>
      <c r="C118" s="31" t="s">
        <v>437</v>
      </c>
      <c r="D118" s="31" t="s">
        <v>441</v>
      </c>
      <c r="E118" s="31" t="s">
        <v>442</v>
      </c>
      <c r="F118" s="31" t="s">
        <v>440</v>
      </c>
      <c r="G118" s="36"/>
      <c r="H118" s="31" t="s">
        <v>57</v>
      </c>
      <c r="I118" s="36"/>
      <c r="J118" s="36"/>
      <c r="K118" s="40"/>
      <c r="L118" s="36"/>
      <c r="M118" s="36"/>
      <c r="N118" s="36"/>
      <c r="O118" s="36"/>
    </row>
    <row r="119" spans="1:15" ht="56.25">
      <c r="A119" s="36"/>
      <c r="B119" s="36"/>
      <c r="C119" s="31" t="s">
        <v>437</v>
      </c>
      <c r="D119" s="31" t="s">
        <v>443</v>
      </c>
      <c r="E119" s="31" t="s">
        <v>444</v>
      </c>
      <c r="F119" s="31" t="s">
        <v>440</v>
      </c>
      <c r="G119" s="36"/>
      <c r="H119" s="31" t="s">
        <v>57</v>
      </c>
      <c r="I119" s="36"/>
      <c r="J119" s="36"/>
      <c r="K119" s="48"/>
      <c r="L119" s="48"/>
      <c r="M119" s="48"/>
      <c r="N119" s="48"/>
      <c r="O119" s="36"/>
    </row>
    <row r="120" spans="1:15" ht="18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40"/>
      <c r="L120" s="36"/>
      <c r="M120" s="36"/>
      <c r="N120" s="36"/>
      <c r="O120" s="36"/>
    </row>
    <row r="121" spans="1:15" ht="18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40"/>
      <c r="L121" s="36"/>
      <c r="M121" s="36"/>
      <c r="N121" s="36"/>
      <c r="O121" s="36"/>
    </row>
    <row r="122" spans="1:15" ht="18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40"/>
      <c r="L122" s="36"/>
      <c r="M122" s="36"/>
      <c r="N122" s="36"/>
      <c r="O122" s="36"/>
    </row>
    <row r="123" spans="1:15" ht="18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40"/>
      <c r="L123" s="36"/>
      <c r="M123" s="36"/>
      <c r="N123" s="36"/>
      <c r="O123" s="36"/>
    </row>
    <row r="124" spans="1:15" ht="18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40"/>
      <c r="L124" s="36"/>
      <c r="M124" s="36"/>
      <c r="N124" s="36"/>
      <c r="O124" s="36"/>
    </row>
    <row r="125" spans="1:15" ht="18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40"/>
      <c r="L125" s="36"/>
      <c r="M125" s="36"/>
      <c r="N125" s="36"/>
      <c r="O125" s="36"/>
    </row>
    <row r="126" spans="1:15" ht="18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40"/>
      <c r="L126" s="36"/>
      <c r="M126" s="36"/>
      <c r="N126" s="36"/>
      <c r="O126" s="36"/>
    </row>
    <row r="127" spans="1:15" ht="18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40"/>
      <c r="L127" s="36"/>
      <c r="M127" s="36"/>
      <c r="N127" s="36"/>
      <c r="O127" s="36"/>
    </row>
    <row r="128" spans="1:15" ht="18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40"/>
      <c r="L128" s="36"/>
      <c r="M128" s="36"/>
      <c r="N128" s="36"/>
      <c r="O128" s="36"/>
    </row>
    <row r="129" spans="1:15" ht="18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40"/>
      <c r="L129" s="36"/>
      <c r="M129" s="36"/>
      <c r="N129" s="36"/>
      <c r="O129" s="36"/>
    </row>
    <row r="130" spans="1:15" ht="18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40"/>
      <c r="L130" s="36"/>
      <c r="M130" s="36"/>
      <c r="N130" s="36"/>
      <c r="O130" s="36"/>
    </row>
    <row r="131" spans="1:15" ht="18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40"/>
      <c r="L131" s="36"/>
      <c r="M131" s="36"/>
      <c r="N131" s="36"/>
      <c r="O131" s="36"/>
    </row>
    <row r="132" spans="1:15" ht="18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40"/>
      <c r="L132" s="36"/>
      <c r="M132" s="36"/>
      <c r="N132" s="36"/>
      <c r="O132" s="36"/>
    </row>
    <row r="133" spans="1:15" ht="18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40"/>
      <c r="L133" s="36"/>
      <c r="M133" s="36"/>
      <c r="N133" s="36"/>
      <c r="O133" s="36"/>
    </row>
    <row r="134" spans="1:15" ht="18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40"/>
      <c r="L134" s="36"/>
      <c r="M134" s="36"/>
      <c r="N134" s="36"/>
      <c r="O134" s="36"/>
    </row>
    <row r="135" spans="1:15" ht="18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40"/>
      <c r="L135" s="36"/>
      <c r="M135" s="36"/>
      <c r="N135" s="36"/>
      <c r="O135" s="36"/>
    </row>
    <row r="136" spans="1:15" ht="18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40"/>
      <c r="L136" s="36"/>
      <c r="M136" s="36"/>
      <c r="N136" s="36"/>
      <c r="O136" s="36"/>
    </row>
    <row r="137" spans="1:15" ht="18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40"/>
      <c r="L137" s="36"/>
      <c r="M137" s="36"/>
      <c r="N137" s="36"/>
      <c r="O137" s="36"/>
    </row>
    <row r="138" spans="1:15" ht="18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40"/>
      <c r="L138" s="36"/>
      <c r="M138" s="36"/>
      <c r="N138" s="36"/>
      <c r="O138" s="36"/>
    </row>
    <row r="139" spans="1:15" ht="18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40"/>
      <c r="L139" s="36"/>
      <c r="M139" s="36"/>
      <c r="N139" s="36"/>
      <c r="O139" s="36"/>
    </row>
    <row r="140" spans="1:15" ht="18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40"/>
      <c r="L140" s="36"/>
      <c r="M140" s="36"/>
      <c r="N140" s="36"/>
      <c r="O140" s="36"/>
    </row>
    <row r="141" spans="1:15" ht="18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40"/>
      <c r="L141" s="36"/>
      <c r="M141" s="36"/>
      <c r="N141" s="36"/>
      <c r="O141" s="36"/>
    </row>
    <row r="142" spans="1:15" ht="18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40"/>
      <c r="L142" s="36"/>
      <c r="M142" s="36"/>
      <c r="N142" s="36"/>
      <c r="O142" s="36"/>
    </row>
    <row r="143" spans="1:15" ht="18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40"/>
      <c r="L143" s="36"/>
      <c r="M143" s="36"/>
      <c r="N143" s="36"/>
      <c r="O143" s="36"/>
    </row>
    <row r="144" spans="1:15" ht="18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40"/>
      <c r="L144" s="36"/>
      <c r="M144" s="36"/>
      <c r="N144" s="36"/>
      <c r="O144" s="36"/>
    </row>
    <row r="145" spans="1:15" ht="18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40"/>
      <c r="L145" s="36"/>
      <c r="M145" s="36"/>
      <c r="N145" s="36"/>
      <c r="O145" s="36"/>
    </row>
    <row r="146" spans="1:15" ht="18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40"/>
      <c r="L146" s="36"/>
      <c r="M146" s="36"/>
      <c r="N146" s="36"/>
      <c r="O146" s="36"/>
    </row>
    <row r="147" spans="1:15" ht="18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40"/>
      <c r="L147" s="36"/>
      <c r="M147" s="36"/>
      <c r="N147" s="36"/>
      <c r="O147" s="36"/>
    </row>
    <row r="148" spans="1:15" ht="18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40"/>
      <c r="L148" s="36"/>
      <c r="M148" s="36"/>
      <c r="N148" s="36"/>
      <c r="O148" s="36"/>
    </row>
    <row r="149" spans="1:15" ht="18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40"/>
      <c r="L149" s="36"/>
      <c r="M149" s="36"/>
      <c r="N149" s="36"/>
      <c r="O149" s="36"/>
    </row>
    <row r="150" spans="1:15" ht="18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40"/>
      <c r="L150" s="36"/>
      <c r="M150" s="36"/>
      <c r="N150" s="36"/>
      <c r="O150" s="36"/>
    </row>
    <row r="151" spans="1:15" ht="18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40"/>
      <c r="L151" s="36"/>
      <c r="M151" s="36"/>
      <c r="N151" s="36"/>
      <c r="O151" s="36"/>
    </row>
    <row r="152" spans="1:15" ht="18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40"/>
      <c r="L152" s="36"/>
      <c r="M152" s="36"/>
      <c r="N152" s="36"/>
      <c r="O152" s="36"/>
    </row>
    <row r="153" spans="1:15" ht="18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40"/>
      <c r="L153" s="36"/>
      <c r="M153" s="36"/>
      <c r="N153" s="36"/>
      <c r="O153" s="36"/>
    </row>
    <row r="154" spans="1:15" ht="18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40"/>
      <c r="L154" s="36"/>
      <c r="M154" s="36"/>
      <c r="N154" s="36"/>
      <c r="O154" s="36"/>
    </row>
    <row r="155" spans="1:15" ht="18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40"/>
      <c r="L155" s="36"/>
      <c r="M155" s="36"/>
      <c r="N155" s="36"/>
      <c r="O155" s="36"/>
    </row>
    <row r="156" spans="1:15" ht="18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40"/>
      <c r="L156" s="36"/>
      <c r="M156" s="36"/>
      <c r="N156" s="36"/>
      <c r="O156" s="36"/>
    </row>
    <row r="157" spans="1:15" ht="18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40"/>
      <c r="L157" s="36"/>
      <c r="M157" s="36"/>
      <c r="N157" s="36"/>
      <c r="O157" s="36"/>
    </row>
    <row r="158" spans="1:15" ht="18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40"/>
      <c r="L158" s="36"/>
      <c r="M158" s="36"/>
      <c r="N158" s="36"/>
      <c r="O158" s="36"/>
    </row>
    <row r="159" spans="1:15" ht="18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40"/>
      <c r="L159" s="36"/>
      <c r="M159" s="36"/>
      <c r="N159" s="36"/>
      <c r="O159" s="36"/>
    </row>
    <row r="160" spans="1:15" ht="18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40"/>
      <c r="L160" s="36"/>
      <c r="M160" s="36"/>
      <c r="N160" s="36"/>
      <c r="O160" s="36"/>
    </row>
    <row r="161" spans="1:15" ht="18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40"/>
      <c r="L161" s="36"/>
      <c r="M161" s="36"/>
      <c r="N161" s="36"/>
      <c r="O161" s="36"/>
    </row>
    <row r="162" spans="1:15" ht="18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40"/>
      <c r="L162" s="36"/>
      <c r="M162" s="36"/>
      <c r="N162" s="36"/>
      <c r="O162" s="36"/>
    </row>
    <row r="163" spans="1:15" ht="18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40"/>
      <c r="L163" s="36"/>
      <c r="M163" s="36"/>
      <c r="N163" s="36"/>
      <c r="O163" s="36"/>
    </row>
    <row r="164" spans="1:15" ht="18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40"/>
      <c r="L164" s="36"/>
      <c r="M164" s="36"/>
      <c r="N164" s="36"/>
      <c r="O164" s="36"/>
    </row>
    <row r="165" spans="1:15" ht="18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40"/>
      <c r="L165" s="36"/>
      <c r="M165" s="36"/>
      <c r="N165" s="36"/>
      <c r="O165" s="36"/>
    </row>
    <row r="166" spans="1:15" ht="18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40"/>
      <c r="L166" s="36"/>
      <c r="M166" s="36"/>
      <c r="N166" s="36"/>
      <c r="O166" s="36"/>
    </row>
    <row r="167" spans="1:15" ht="18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40"/>
      <c r="L167" s="36"/>
      <c r="M167" s="36"/>
      <c r="N167" s="36"/>
      <c r="O167" s="36"/>
    </row>
    <row r="168" spans="1:15" ht="18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40"/>
      <c r="L168" s="36"/>
      <c r="M168" s="36"/>
      <c r="N168" s="36"/>
      <c r="O168" s="36"/>
    </row>
    <row r="169" spans="1:15" ht="18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40"/>
      <c r="L169" s="36"/>
      <c r="M169" s="36"/>
      <c r="N169" s="36"/>
      <c r="O169" s="36"/>
    </row>
    <row r="170" spans="1:15" ht="18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40"/>
      <c r="L170" s="36"/>
      <c r="M170" s="36"/>
      <c r="N170" s="36"/>
      <c r="O170" s="36"/>
    </row>
    <row r="171" spans="1:15" ht="18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40"/>
      <c r="L171" s="36"/>
      <c r="M171" s="36"/>
      <c r="N171" s="36"/>
      <c r="O171" s="36"/>
    </row>
    <row r="172" spans="1:15" ht="18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40"/>
      <c r="L172" s="36"/>
      <c r="M172" s="36"/>
      <c r="N172" s="36"/>
      <c r="O172" s="36"/>
    </row>
    <row r="173" spans="1:15" ht="18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40"/>
      <c r="L173" s="36"/>
      <c r="M173" s="36"/>
      <c r="N173" s="36"/>
      <c r="O173" s="36"/>
    </row>
    <row r="174" spans="1:15" ht="18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40"/>
      <c r="L174" s="36"/>
      <c r="M174" s="36"/>
      <c r="N174" s="36"/>
      <c r="O174" s="36"/>
    </row>
    <row r="175" spans="1:15" ht="18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40"/>
      <c r="L175" s="36"/>
      <c r="M175" s="36"/>
      <c r="N175" s="36"/>
      <c r="O175" s="36"/>
    </row>
    <row r="176" spans="1:15" ht="18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40"/>
      <c r="L176" s="36"/>
      <c r="M176" s="36"/>
      <c r="N176" s="36"/>
      <c r="O176" s="36"/>
    </row>
    <row r="177" spans="1:15" ht="18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40"/>
      <c r="L177" s="36"/>
      <c r="M177" s="36"/>
      <c r="N177" s="36"/>
      <c r="O177" s="36"/>
    </row>
    <row r="178" spans="1:15" ht="18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40"/>
      <c r="L178" s="36"/>
      <c r="M178" s="36"/>
      <c r="N178" s="36"/>
      <c r="O178" s="36"/>
    </row>
    <row r="179" spans="1:15" ht="18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40"/>
      <c r="L179" s="36"/>
      <c r="M179" s="36"/>
      <c r="N179" s="36"/>
      <c r="O179" s="36"/>
    </row>
    <row r="180" spans="1:15" ht="18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40"/>
      <c r="L180" s="36"/>
      <c r="M180" s="36"/>
      <c r="N180" s="36"/>
      <c r="O180" s="36"/>
    </row>
    <row r="181" spans="1:15" ht="18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40"/>
      <c r="L181" s="36"/>
      <c r="M181" s="36"/>
      <c r="N181" s="36"/>
      <c r="O181" s="36"/>
    </row>
    <row r="182" spans="1:15" ht="18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40"/>
      <c r="L182" s="36"/>
      <c r="M182" s="36"/>
      <c r="N182" s="36"/>
      <c r="O182" s="36"/>
    </row>
    <row r="183" spans="1:15" ht="18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40"/>
      <c r="L183" s="36"/>
      <c r="M183" s="36"/>
      <c r="N183" s="36"/>
      <c r="O183" s="36"/>
    </row>
    <row r="184" spans="1:15" ht="18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40"/>
      <c r="L184" s="36"/>
      <c r="M184" s="36"/>
      <c r="N184" s="36"/>
      <c r="O184" s="36"/>
    </row>
    <row r="185" spans="1:15" ht="18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40"/>
      <c r="L185" s="36"/>
      <c r="M185" s="36"/>
      <c r="N185" s="36"/>
      <c r="O185" s="36"/>
    </row>
    <row r="186" spans="1:15" ht="18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40"/>
      <c r="L186" s="36"/>
      <c r="M186" s="36"/>
      <c r="N186" s="36"/>
      <c r="O186" s="36"/>
    </row>
    <row r="187" spans="1:15" ht="18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40"/>
      <c r="L187" s="36"/>
      <c r="M187" s="36"/>
      <c r="N187" s="36"/>
      <c r="O187" s="36"/>
    </row>
    <row r="188" spans="1:15" ht="18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40"/>
      <c r="L188" s="36"/>
      <c r="M188" s="36"/>
      <c r="N188" s="36"/>
      <c r="O188" s="36"/>
    </row>
    <row r="189" spans="1:15" ht="18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40"/>
      <c r="L189" s="36"/>
      <c r="M189" s="36"/>
      <c r="N189" s="36"/>
      <c r="O189" s="36"/>
    </row>
    <row r="190" spans="1:15" ht="18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40"/>
      <c r="L190" s="36"/>
      <c r="M190" s="36"/>
      <c r="N190" s="36"/>
      <c r="O190" s="36"/>
    </row>
    <row r="191" spans="1:15" ht="18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40"/>
      <c r="L191" s="36"/>
      <c r="M191" s="36"/>
      <c r="N191" s="36"/>
      <c r="O191" s="36"/>
    </row>
    <row r="192" spans="1:15" ht="18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40"/>
      <c r="L192" s="36"/>
      <c r="M192" s="36"/>
      <c r="N192" s="36"/>
      <c r="O192" s="36"/>
    </row>
    <row r="193" spans="1:15" ht="18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40"/>
      <c r="L193" s="36"/>
      <c r="M193" s="36"/>
      <c r="N193" s="36"/>
      <c r="O193" s="36"/>
    </row>
    <row r="194" spans="1:15" ht="18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40"/>
      <c r="L194" s="36"/>
      <c r="M194" s="36"/>
      <c r="N194" s="36"/>
      <c r="O194" s="36"/>
    </row>
    <row r="195" spans="1:15" ht="18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40"/>
      <c r="L195" s="36"/>
      <c r="M195" s="36"/>
      <c r="N195" s="36"/>
      <c r="O195" s="36"/>
    </row>
    <row r="196" spans="1:15" ht="18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40"/>
      <c r="L196" s="36"/>
      <c r="M196" s="36"/>
      <c r="N196" s="36"/>
      <c r="O196" s="36"/>
    </row>
    <row r="197" spans="1:15" ht="18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40"/>
      <c r="L197" s="36"/>
      <c r="M197" s="36"/>
      <c r="N197" s="36"/>
      <c r="O197" s="36"/>
    </row>
    <row r="198" spans="1:15" ht="18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40"/>
      <c r="L198" s="36"/>
      <c r="M198" s="36"/>
      <c r="N198" s="36"/>
      <c r="O198" s="36"/>
    </row>
    <row r="199" spans="1:15" ht="18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40"/>
      <c r="L199" s="36"/>
      <c r="M199" s="36"/>
      <c r="N199" s="36"/>
      <c r="O199" s="36"/>
    </row>
    <row r="200" spans="1:15" ht="18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40"/>
      <c r="L200" s="36"/>
      <c r="M200" s="36"/>
      <c r="N200" s="36"/>
      <c r="O200" s="36"/>
    </row>
    <row r="201" spans="1:15" ht="18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40"/>
      <c r="L201" s="36"/>
      <c r="M201" s="36"/>
      <c r="N201" s="36"/>
      <c r="O201" s="36"/>
    </row>
    <row r="202" spans="1:15" ht="18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40"/>
      <c r="L202" s="36"/>
      <c r="M202" s="36"/>
      <c r="N202" s="36"/>
      <c r="O202" s="36"/>
    </row>
    <row r="203" spans="1:15" ht="18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40"/>
      <c r="L203" s="36"/>
      <c r="M203" s="36"/>
      <c r="N203" s="36"/>
      <c r="O203" s="36"/>
    </row>
    <row r="204" spans="1:15" ht="18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40"/>
      <c r="L204" s="36"/>
      <c r="M204" s="36"/>
      <c r="N204" s="36"/>
      <c r="O204" s="36"/>
    </row>
    <row r="205" spans="1:15" ht="18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40"/>
      <c r="L205" s="36"/>
      <c r="M205" s="36"/>
      <c r="N205" s="36"/>
      <c r="O205" s="36"/>
    </row>
    <row r="206" spans="1:15" ht="18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40"/>
      <c r="L206" s="36"/>
      <c r="M206" s="36"/>
      <c r="N206" s="36"/>
      <c r="O206" s="36"/>
    </row>
    <row r="207" spans="1:15" ht="18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40"/>
      <c r="L207" s="36"/>
      <c r="M207" s="36"/>
      <c r="N207" s="36"/>
      <c r="O207" s="36"/>
    </row>
    <row r="208" spans="1:15" ht="18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40"/>
      <c r="L208" s="36"/>
      <c r="M208" s="36"/>
      <c r="N208" s="36"/>
      <c r="O208" s="36"/>
    </row>
    <row r="209" spans="1:15" ht="18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40"/>
      <c r="L209" s="36"/>
      <c r="M209" s="36"/>
      <c r="N209" s="36"/>
      <c r="O209" s="36"/>
    </row>
    <row r="210" spans="1:15" ht="18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40"/>
      <c r="L210" s="36"/>
      <c r="M210" s="36"/>
      <c r="N210" s="36"/>
      <c r="O210" s="36"/>
    </row>
    <row r="211" spans="1:15" ht="18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40"/>
      <c r="L211" s="36"/>
      <c r="M211" s="36"/>
      <c r="N211" s="36"/>
      <c r="O211" s="36"/>
    </row>
    <row r="212" spans="1:15" ht="18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40"/>
      <c r="L212" s="36"/>
      <c r="M212" s="36"/>
      <c r="N212" s="36"/>
      <c r="O212" s="36"/>
    </row>
    <row r="213" spans="1:15" ht="18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40"/>
      <c r="L213" s="36"/>
      <c r="M213" s="36"/>
      <c r="N213" s="36"/>
      <c r="O213" s="36"/>
    </row>
    <row r="214" spans="1:15" ht="18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40"/>
      <c r="L214" s="36"/>
      <c r="M214" s="36"/>
      <c r="N214" s="36"/>
      <c r="O214" s="36"/>
    </row>
    <row r="215" spans="1:15" ht="18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40"/>
      <c r="L215" s="36"/>
      <c r="M215" s="36"/>
      <c r="N215" s="36"/>
      <c r="O215" s="36"/>
    </row>
    <row r="216" spans="1:15" ht="18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40"/>
      <c r="L216" s="36"/>
      <c r="M216" s="36"/>
      <c r="N216" s="36"/>
      <c r="O216" s="36"/>
    </row>
    <row r="217" spans="1:15" ht="18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40"/>
      <c r="L217" s="36"/>
      <c r="M217" s="36"/>
      <c r="N217" s="36"/>
      <c r="O217" s="36"/>
    </row>
    <row r="218" spans="1:15" ht="18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40"/>
      <c r="L218" s="36"/>
      <c r="M218" s="36"/>
      <c r="N218" s="36"/>
      <c r="O218" s="36"/>
    </row>
    <row r="219" spans="1:15" ht="18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40"/>
      <c r="L219" s="36"/>
      <c r="M219" s="36"/>
      <c r="N219" s="36"/>
      <c r="O219" s="36"/>
    </row>
    <row r="220" spans="1:15" ht="18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40"/>
      <c r="L220" s="36"/>
      <c r="M220" s="36"/>
      <c r="N220" s="36"/>
      <c r="O220" s="36"/>
    </row>
    <row r="221" spans="1:15" ht="18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40"/>
      <c r="L221" s="36"/>
      <c r="M221" s="36"/>
      <c r="N221" s="36"/>
      <c r="O221" s="36"/>
    </row>
    <row r="222" spans="1:15" ht="18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40"/>
      <c r="L222" s="36"/>
      <c r="M222" s="36"/>
      <c r="N222" s="36"/>
      <c r="O222" s="36"/>
    </row>
    <row r="223" spans="1:15" ht="18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40"/>
      <c r="L223" s="36"/>
      <c r="M223" s="36"/>
      <c r="N223" s="36"/>
      <c r="O223" s="36"/>
    </row>
    <row r="224" spans="1:15" ht="18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40"/>
      <c r="L224" s="36"/>
      <c r="M224" s="36"/>
      <c r="N224" s="36"/>
      <c r="O224" s="36"/>
    </row>
    <row r="225" spans="1:15" ht="18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40"/>
      <c r="L225" s="36"/>
      <c r="M225" s="36"/>
      <c r="N225" s="36"/>
      <c r="O225" s="36"/>
    </row>
    <row r="226" spans="1:15" ht="18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40"/>
      <c r="L226" s="36"/>
      <c r="M226" s="36"/>
      <c r="N226" s="36"/>
      <c r="O226" s="36"/>
    </row>
    <row r="227" spans="1:15" ht="18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40"/>
      <c r="L227" s="36"/>
      <c r="M227" s="36"/>
      <c r="N227" s="36"/>
      <c r="O227" s="36"/>
    </row>
    <row r="228" spans="1:15" ht="18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40"/>
      <c r="L228" s="36"/>
      <c r="M228" s="36"/>
      <c r="N228" s="36"/>
      <c r="O228" s="36"/>
    </row>
    <row r="229" spans="1:15" ht="18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40"/>
      <c r="L229" s="36"/>
      <c r="M229" s="36"/>
      <c r="N229" s="36"/>
      <c r="O229" s="36"/>
    </row>
    <row r="230" spans="1:15" ht="18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40"/>
      <c r="L230" s="36"/>
      <c r="M230" s="36"/>
      <c r="N230" s="36"/>
      <c r="O230" s="36"/>
    </row>
    <row r="231" spans="1:15" ht="18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40"/>
      <c r="L231" s="36"/>
      <c r="M231" s="36"/>
      <c r="N231" s="36"/>
      <c r="O231" s="36"/>
    </row>
    <row r="232" spans="1:15" ht="18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40"/>
      <c r="L232" s="36"/>
      <c r="M232" s="36"/>
      <c r="N232" s="36"/>
      <c r="O232" s="36"/>
    </row>
    <row r="233" spans="1:15" ht="18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40"/>
      <c r="L233" s="36"/>
      <c r="M233" s="36"/>
      <c r="N233" s="36"/>
      <c r="O233" s="36"/>
    </row>
    <row r="234" spans="1:15" ht="18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40"/>
      <c r="L234" s="36"/>
      <c r="M234" s="36"/>
      <c r="N234" s="36"/>
      <c r="O234" s="36"/>
    </row>
    <row r="235" spans="1:15" ht="18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40"/>
      <c r="L235" s="36"/>
      <c r="M235" s="36"/>
      <c r="N235" s="36"/>
      <c r="O235" s="36"/>
    </row>
    <row r="236" spans="1:15" ht="18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40"/>
      <c r="L236" s="36"/>
      <c r="M236" s="36"/>
      <c r="N236" s="36"/>
      <c r="O236" s="36"/>
    </row>
    <row r="237" spans="1:15" ht="18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40"/>
      <c r="L237" s="36"/>
      <c r="M237" s="36"/>
      <c r="N237" s="36"/>
      <c r="O237" s="36"/>
    </row>
    <row r="238" spans="1:15" ht="18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40"/>
      <c r="L238" s="36"/>
      <c r="M238" s="36"/>
      <c r="N238" s="36"/>
      <c r="O238" s="36"/>
    </row>
    <row r="239" spans="1:15" ht="18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40"/>
      <c r="L239" s="36"/>
      <c r="M239" s="36"/>
      <c r="N239" s="36"/>
      <c r="O239" s="36"/>
    </row>
    <row r="240" spans="1:15" ht="18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40"/>
      <c r="L240" s="36"/>
      <c r="M240" s="36"/>
      <c r="N240" s="36"/>
      <c r="O240" s="36"/>
    </row>
    <row r="241" spans="1:15" ht="18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40"/>
      <c r="L241" s="36"/>
      <c r="M241" s="36"/>
      <c r="N241" s="36"/>
      <c r="O241" s="36"/>
    </row>
    <row r="242" spans="1:15" ht="18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40"/>
      <c r="L242" s="36"/>
      <c r="M242" s="36"/>
      <c r="N242" s="36"/>
      <c r="O242" s="36"/>
    </row>
    <row r="243" spans="1:15" ht="18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40"/>
      <c r="L243" s="36"/>
      <c r="M243" s="36"/>
      <c r="N243" s="36"/>
      <c r="O243" s="36"/>
    </row>
    <row r="244" spans="1:15" ht="18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40"/>
      <c r="L244" s="36"/>
      <c r="M244" s="36"/>
      <c r="N244" s="36"/>
      <c r="O244" s="36"/>
    </row>
    <row r="245" spans="1:15" ht="18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40"/>
      <c r="L245" s="36"/>
      <c r="M245" s="36"/>
      <c r="N245" s="36"/>
      <c r="O245" s="36"/>
    </row>
    <row r="246" spans="1:15" ht="18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40"/>
      <c r="L246" s="36"/>
      <c r="M246" s="36"/>
      <c r="N246" s="36"/>
      <c r="O246" s="36"/>
    </row>
    <row r="247" spans="1:15" ht="18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40"/>
      <c r="L247" s="36"/>
      <c r="M247" s="36"/>
      <c r="N247" s="36"/>
      <c r="O247" s="36"/>
    </row>
    <row r="248" spans="1:15" ht="18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40"/>
      <c r="L248" s="36"/>
      <c r="M248" s="36"/>
      <c r="N248" s="36"/>
      <c r="O248" s="36"/>
    </row>
    <row r="249" spans="1:15" ht="18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40"/>
      <c r="L249" s="36"/>
      <c r="M249" s="36"/>
      <c r="N249" s="36"/>
      <c r="O249" s="36"/>
    </row>
    <row r="250" spans="1:15" ht="18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40"/>
      <c r="L250" s="36"/>
      <c r="M250" s="36"/>
      <c r="N250" s="36"/>
      <c r="O250" s="36"/>
    </row>
    <row r="251" spans="1:15" ht="18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40"/>
      <c r="L251" s="36"/>
      <c r="M251" s="36"/>
      <c r="N251" s="36"/>
      <c r="O251" s="36"/>
    </row>
    <row r="252" spans="1:15" ht="18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40"/>
      <c r="L252" s="36"/>
      <c r="M252" s="36"/>
      <c r="N252" s="36"/>
      <c r="O252" s="36"/>
    </row>
    <row r="253" spans="1:15" ht="18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40"/>
      <c r="L253" s="36"/>
      <c r="M253" s="36"/>
      <c r="N253" s="36"/>
      <c r="O253" s="36"/>
    </row>
    <row r="254" spans="1:15" ht="18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40"/>
      <c r="L254" s="36"/>
      <c r="M254" s="36"/>
      <c r="N254" s="36"/>
      <c r="O254" s="36"/>
    </row>
    <row r="255" spans="1:15" ht="18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40"/>
      <c r="L255" s="36"/>
      <c r="M255" s="36"/>
      <c r="N255" s="36"/>
      <c r="O255" s="36"/>
    </row>
    <row r="256" spans="1:15" ht="18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40"/>
      <c r="L256" s="36"/>
      <c r="M256" s="36"/>
      <c r="N256" s="36"/>
      <c r="O256" s="36"/>
    </row>
    <row r="257" spans="1:15" ht="18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40"/>
      <c r="L257" s="36"/>
      <c r="M257" s="36"/>
      <c r="N257" s="36"/>
      <c r="O257" s="36"/>
    </row>
    <row r="258" spans="1:15" ht="18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40"/>
      <c r="L258" s="36"/>
      <c r="M258" s="36"/>
      <c r="N258" s="36"/>
      <c r="O258" s="36"/>
    </row>
    <row r="259" spans="1:15" ht="18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40"/>
      <c r="L259" s="36"/>
      <c r="M259" s="36"/>
      <c r="N259" s="36"/>
      <c r="O259" s="36"/>
    </row>
    <row r="260" spans="1:15" ht="18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40"/>
      <c r="L260" s="36"/>
      <c r="M260" s="36"/>
      <c r="N260" s="36"/>
      <c r="O260" s="36"/>
    </row>
    <row r="261" spans="1:15" ht="18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40"/>
      <c r="L261" s="36"/>
      <c r="M261" s="36"/>
      <c r="N261" s="36"/>
      <c r="O261" s="36"/>
    </row>
    <row r="262" spans="1:15" ht="18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40"/>
      <c r="L262" s="36"/>
      <c r="M262" s="36"/>
      <c r="N262" s="36"/>
      <c r="O262" s="36"/>
    </row>
    <row r="263" spans="1:15" ht="18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40"/>
      <c r="L263" s="36"/>
      <c r="M263" s="36"/>
      <c r="N263" s="36"/>
      <c r="O263" s="36"/>
    </row>
    <row r="264" spans="1:15" ht="18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40"/>
      <c r="L264" s="36"/>
      <c r="M264" s="36"/>
      <c r="N264" s="36"/>
      <c r="O264" s="36"/>
    </row>
    <row r="265" spans="1:15" ht="18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40"/>
      <c r="L265" s="36"/>
      <c r="M265" s="36"/>
      <c r="N265" s="36"/>
      <c r="O265" s="36"/>
    </row>
    <row r="266" spans="1:15" ht="18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40"/>
      <c r="L266" s="36"/>
      <c r="M266" s="36"/>
      <c r="N266" s="36"/>
      <c r="O266" s="36"/>
    </row>
    <row r="267" spans="1:15" ht="18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40"/>
      <c r="L267" s="36"/>
      <c r="M267" s="36"/>
      <c r="N267" s="36"/>
      <c r="O267" s="36"/>
    </row>
    <row r="268" spans="1:15" ht="18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40"/>
      <c r="L268" s="36"/>
      <c r="M268" s="36"/>
      <c r="N268" s="36"/>
      <c r="O268" s="36"/>
    </row>
    <row r="269" spans="1:15" ht="18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40"/>
      <c r="L269" s="36"/>
      <c r="M269" s="36"/>
      <c r="N269" s="36"/>
      <c r="O269" s="36"/>
    </row>
    <row r="270" spans="1:15" ht="18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40"/>
      <c r="L270" s="36"/>
      <c r="M270" s="36"/>
      <c r="N270" s="36"/>
      <c r="O270" s="36"/>
    </row>
    <row r="271" spans="1:15" ht="18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40"/>
      <c r="L271" s="36"/>
      <c r="M271" s="36"/>
      <c r="N271" s="36"/>
      <c r="O271" s="36"/>
    </row>
    <row r="272" spans="1:15" ht="18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40"/>
      <c r="L272" s="36"/>
      <c r="M272" s="36"/>
      <c r="N272" s="36"/>
      <c r="O272" s="36"/>
    </row>
    <row r="273" spans="1:15" ht="18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40"/>
      <c r="L273" s="36"/>
      <c r="M273" s="36"/>
      <c r="N273" s="36"/>
      <c r="O273" s="36"/>
    </row>
    <row r="274" spans="1:15" ht="18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40"/>
      <c r="L274" s="36"/>
      <c r="M274" s="36"/>
      <c r="N274" s="36"/>
      <c r="O274" s="36"/>
    </row>
    <row r="275" spans="1:15" ht="18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40"/>
      <c r="L275" s="36"/>
      <c r="M275" s="36"/>
      <c r="N275" s="36"/>
      <c r="O275" s="36"/>
    </row>
    <row r="276" spans="1:15" ht="18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40"/>
      <c r="L276" s="36"/>
      <c r="M276" s="36"/>
      <c r="N276" s="36"/>
      <c r="O276" s="36"/>
    </row>
    <row r="277" spans="1:15" ht="18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40"/>
      <c r="L277" s="36"/>
      <c r="M277" s="36"/>
      <c r="N277" s="36"/>
      <c r="O277" s="36"/>
    </row>
    <row r="278" spans="1:15" ht="18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40"/>
      <c r="L278" s="36"/>
      <c r="M278" s="36"/>
      <c r="N278" s="36"/>
      <c r="O278" s="36"/>
    </row>
    <row r="279" spans="1:15" ht="18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40"/>
      <c r="L279" s="36"/>
      <c r="M279" s="36"/>
      <c r="N279" s="36"/>
      <c r="O279" s="36"/>
    </row>
    <row r="280" spans="1:15" ht="18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40"/>
      <c r="L280" s="36"/>
      <c r="M280" s="36"/>
      <c r="N280" s="36"/>
      <c r="O280" s="36"/>
    </row>
    <row r="281" spans="1:15" ht="18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40"/>
      <c r="L281" s="36"/>
      <c r="M281" s="36"/>
      <c r="N281" s="36"/>
      <c r="O281" s="36"/>
    </row>
    <row r="282" spans="1:15" ht="18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40"/>
      <c r="L282" s="36"/>
      <c r="M282" s="36"/>
      <c r="N282" s="36"/>
      <c r="O282" s="36"/>
    </row>
    <row r="283" spans="1:15" ht="18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40"/>
      <c r="L283" s="36"/>
      <c r="M283" s="36"/>
      <c r="N283" s="36"/>
      <c r="O283" s="36"/>
    </row>
    <row r="284" spans="1:15" ht="18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40"/>
      <c r="L284" s="36"/>
      <c r="M284" s="36"/>
      <c r="N284" s="36"/>
      <c r="O284" s="36"/>
    </row>
    <row r="285" spans="1:15" ht="18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40"/>
      <c r="L285" s="36"/>
      <c r="M285" s="36"/>
      <c r="N285" s="36"/>
      <c r="O285" s="36"/>
    </row>
    <row r="286" spans="1:15" ht="18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40"/>
      <c r="L286" s="36"/>
      <c r="M286" s="36"/>
      <c r="N286" s="36"/>
      <c r="O286" s="36"/>
    </row>
    <row r="287" spans="1:15" ht="18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40"/>
      <c r="L287" s="36"/>
      <c r="M287" s="36"/>
      <c r="N287" s="36"/>
      <c r="O287" s="36"/>
    </row>
    <row r="288" spans="1:15" ht="18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40"/>
      <c r="L288" s="36"/>
      <c r="M288" s="36"/>
      <c r="N288" s="36"/>
      <c r="O288" s="36"/>
    </row>
    <row r="289" spans="1:15" ht="18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40"/>
      <c r="L289" s="36"/>
      <c r="M289" s="36"/>
      <c r="N289" s="36"/>
      <c r="O289" s="36"/>
    </row>
    <row r="290" spans="1:15" ht="18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40"/>
      <c r="L290" s="36"/>
      <c r="M290" s="36"/>
      <c r="N290" s="36"/>
      <c r="O290" s="36"/>
    </row>
    <row r="291" spans="1:15" ht="18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40"/>
      <c r="L291" s="36"/>
      <c r="M291" s="36"/>
      <c r="N291" s="36"/>
      <c r="O291" s="36"/>
    </row>
    <row r="292" spans="1:15" ht="18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40"/>
      <c r="L292" s="36"/>
      <c r="M292" s="36"/>
      <c r="N292" s="36"/>
      <c r="O292" s="36"/>
    </row>
    <row r="293" spans="1:15" ht="18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40"/>
      <c r="L293" s="36"/>
      <c r="M293" s="36"/>
      <c r="N293" s="36"/>
      <c r="O293" s="36"/>
    </row>
    <row r="294" spans="1:15" ht="18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40"/>
      <c r="L294" s="36"/>
      <c r="M294" s="36"/>
      <c r="N294" s="36"/>
      <c r="O294" s="36"/>
    </row>
    <row r="295" spans="1:15" ht="18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40"/>
      <c r="L295" s="36"/>
      <c r="M295" s="36"/>
      <c r="N295" s="36"/>
      <c r="O295" s="36"/>
    </row>
    <row r="296" spans="1:15" ht="18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40"/>
      <c r="L296" s="36"/>
      <c r="M296" s="36"/>
      <c r="N296" s="36"/>
      <c r="O296" s="36"/>
    </row>
    <row r="297" spans="1:15" ht="18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40"/>
      <c r="L297" s="36"/>
      <c r="M297" s="36"/>
      <c r="N297" s="36"/>
      <c r="O297" s="36"/>
    </row>
    <row r="298" spans="1:15" ht="18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40"/>
      <c r="L298" s="36"/>
      <c r="M298" s="36"/>
      <c r="N298" s="36"/>
      <c r="O298" s="36"/>
    </row>
    <row r="299" spans="1:15" ht="18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40"/>
      <c r="L299" s="36"/>
      <c r="M299" s="36"/>
      <c r="N299" s="36"/>
      <c r="O299" s="36"/>
    </row>
    <row r="300" spans="1:15" ht="18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40"/>
      <c r="L300" s="36"/>
      <c r="M300" s="36"/>
      <c r="N300" s="36"/>
      <c r="O300" s="36"/>
    </row>
    <row r="301" spans="1:15" ht="18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40"/>
      <c r="L301" s="36"/>
      <c r="M301" s="36"/>
      <c r="N301" s="36"/>
      <c r="O301" s="36"/>
    </row>
    <row r="302" spans="1:15" ht="18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40"/>
      <c r="L302" s="36"/>
      <c r="M302" s="36"/>
      <c r="N302" s="36"/>
      <c r="O302" s="36"/>
    </row>
    <row r="303" spans="1:15" ht="18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40"/>
      <c r="L303" s="36"/>
      <c r="M303" s="36"/>
      <c r="N303" s="36"/>
      <c r="O303" s="36"/>
    </row>
    <row r="304" spans="1:15" ht="18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40"/>
      <c r="L304" s="36"/>
      <c r="M304" s="36"/>
      <c r="N304" s="36"/>
      <c r="O304" s="36"/>
    </row>
    <row r="305" spans="1:15" ht="18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40"/>
      <c r="L305" s="36"/>
      <c r="M305" s="36"/>
      <c r="N305" s="36"/>
      <c r="O305" s="36"/>
    </row>
    <row r="306" spans="1:15" ht="18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40"/>
      <c r="L306" s="36"/>
      <c r="M306" s="36"/>
      <c r="N306" s="36"/>
      <c r="O306" s="36"/>
    </row>
    <row r="307" spans="1:15" ht="18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40"/>
      <c r="L307" s="36"/>
      <c r="M307" s="36"/>
      <c r="N307" s="36"/>
      <c r="O307" s="36"/>
    </row>
    <row r="308" spans="1:15" ht="18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40"/>
      <c r="L308" s="36"/>
      <c r="M308" s="36"/>
      <c r="N308" s="36"/>
      <c r="O308" s="36"/>
    </row>
    <row r="309" spans="1:15" ht="18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40"/>
      <c r="L309" s="36"/>
      <c r="M309" s="36"/>
      <c r="N309" s="36"/>
      <c r="O309" s="36"/>
    </row>
    <row r="310" spans="1:15" ht="18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40"/>
      <c r="L310" s="36"/>
      <c r="M310" s="36"/>
      <c r="N310" s="36"/>
      <c r="O310" s="36"/>
    </row>
    <row r="311" spans="1:15" ht="18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40"/>
      <c r="L311" s="36"/>
      <c r="M311" s="36"/>
      <c r="N311" s="36"/>
      <c r="O311" s="36"/>
    </row>
    <row r="312" spans="1:15" ht="18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40"/>
      <c r="L312" s="36"/>
      <c r="M312" s="36"/>
      <c r="N312" s="36"/>
      <c r="O312" s="36"/>
    </row>
    <row r="313" spans="1:15" ht="18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40"/>
      <c r="L313" s="36"/>
      <c r="M313" s="36"/>
      <c r="N313" s="36"/>
      <c r="O313" s="36"/>
    </row>
    <row r="314" spans="1:15" ht="18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40"/>
      <c r="L314" s="36"/>
      <c r="M314" s="36"/>
      <c r="N314" s="36"/>
      <c r="O314" s="36"/>
    </row>
    <row r="315" spans="1:15" ht="18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40"/>
      <c r="L315" s="36"/>
      <c r="M315" s="36"/>
      <c r="N315" s="36"/>
      <c r="O315" s="36"/>
    </row>
    <row r="316" spans="1:15" ht="18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40"/>
      <c r="L316" s="36"/>
      <c r="M316" s="36"/>
      <c r="N316" s="36"/>
      <c r="O316" s="36"/>
    </row>
    <row r="317" spans="1:15" ht="18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40"/>
      <c r="L317" s="36"/>
      <c r="M317" s="36"/>
      <c r="N317" s="36"/>
      <c r="O317" s="36"/>
    </row>
    <row r="318" spans="1:15" ht="18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40"/>
      <c r="L318" s="36"/>
      <c r="M318" s="36"/>
      <c r="N318" s="36"/>
      <c r="O318" s="36"/>
    </row>
    <row r="319" spans="1:15" ht="18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40"/>
      <c r="L319" s="36"/>
      <c r="M319" s="36"/>
      <c r="N319" s="36"/>
      <c r="O319" s="36"/>
    </row>
    <row r="320" spans="1:15" ht="18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40"/>
      <c r="L320" s="36"/>
      <c r="M320" s="36"/>
      <c r="N320" s="36"/>
      <c r="O320" s="36"/>
    </row>
    <row r="321" spans="1:15" ht="18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40"/>
      <c r="L321" s="36"/>
      <c r="M321" s="36"/>
      <c r="N321" s="36"/>
      <c r="O321" s="36"/>
    </row>
    <row r="322" spans="1:15" ht="18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40"/>
      <c r="L322" s="36"/>
      <c r="M322" s="36"/>
      <c r="N322" s="36"/>
      <c r="O322" s="36"/>
    </row>
    <row r="323" spans="1:15" ht="18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40"/>
      <c r="L323" s="36"/>
      <c r="M323" s="36"/>
      <c r="N323" s="36"/>
      <c r="O323" s="36"/>
    </row>
    <row r="324" spans="1:15" ht="18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40"/>
      <c r="L324" s="36"/>
      <c r="M324" s="36"/>
      <c r="N324" s="36"/>
      <c r="O324" s="36"/>
    </row>
    <row r="325" spans="1:15" ht="18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40"/>
      <c r="L325" s="36"/>
      <c r="M325" s="36"/>
      <c r="N325" s="36"/>
      <c r="O325" s="36"/>
    </row>
    <row r="326" spans="1:15" ht="18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40"/>
      <c r="L326" s="36"/>
      <c r="M326" s="36"/>
      <c r="N326" s="36"/>
      <c r="O326" s="36"/>
    </row>
    <row r="327" spans="1:15" ht="18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40"/>
      <c r="L327" s="36"/>
      <c r="M327" s="36"/>
      <c r="N327" s="36"/>
      <c r="O327" s="36"/>
    </row>
    <row r="328" spans="1:15" ht="18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40"/>
      <c r="L328" s="36"/>
      <c r="M328" s="36"/>
      <c r="N328" s="36"/>
      <c r="O328" s="36"/>
    </row>
    <row r="329" spans="1:15" ht="18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40"/>
      <c r="L329" s="36"/>
      <c r="M329" s="36"/>
      <c r="N329" s="36"/>
      <c r="O329" s="36"/>
    </row>
    <row r="330" spans="1:15" ht="18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40"/>
      <c r="L330" s="36"/>
      <c r="M330" s="36"/>
      <c r="N330" s="36"/>
      <c r="O330" s="36"/>
    </row>
    <row r="331" spans="1:15" ht="18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40"/>
      <c r="L331" s="36"/>
      <c r="M331" s="36"/>
      <c r="N331" s="36"/>
      <c r="O331" s="36"/>
    </row>
    <row r="332" spans="1:15" ht="18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40"/>
      <c r="L332" s="36"/>
      <c r="M332" s="36"/>
      <c r="N332" s="36"/>
      <c r="O332" s="36"/>
    </row>
    <row r="333" spans="1:15" ht="18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40"/>
      <c r="L333" s="36"/>
      <c r="M333" s="36"/>
      <c r="N333" s="36"/>
      <c r="O333" s="36"/>
    </row>
    <row r="334" spans="1:15" ht="18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40"/>
      <c r="L334" s="36"/>
      <c r="M334" s="36"/>
      <c r="N334" s="36"/>
      <c r="O334" s="36"/>
    </row>
    <row r="335" spans="1:15" ht="18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40"/>
      <c r="L335" s="36"/>
      <c r="M335" s="36"/>
      <c r="N335" s="36"/>
      <c r="O335" s="36"/>
    </row>
    <row r="336" spans="1:15" ht="18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40"/>
      <c r="L336" s="36"/>
      <c r="M336" s="36"/>
      <c r="N336" s="36"/>
      <c r="O336" s="36"/>
    </row>
    <row r="337" spans="1:15" ht="18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40"/>
      <c r="L337" s="36"/>
      <c r="M337" s="36"/>
      <c r="N337" s="36"/>
      <c r="O337" s="36"/>
    </row>
    <row r="338" spans="1:15" ht="18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40"/>
      <c r="L338" s="36"/>
      <c r="M338" s="36"/>
      <c r="N338" s="36"/>
      <c r="O338" s="36"/>
    </row>
    <row r="339" spans="1:15" ht="18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40"/>
      <c r="L339" s="36"/>
      <c r="M339" s="36"/>
      <c r="N339" s="36"/>
      <c r="O339" s="36"/>
    </row>
    <row r="340" spans="1:15" ht="18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40"/>
      <c r="L340" s="36"/>
      <c r="M340" s="36"/>
      <c r="N340" s="36"/>
      <c r="O340" s="36"/>
    </row>
    <row r="341" spans="1:15" ht="18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40"/>
      <c r="L341" s="36"/>
      <c r="M341" s="36"/>
      <c r="N341" s="36"/>
      <c r="O341" s="36"/>
    </row>
    <row r="342" spans="1:15" ht="18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40"/>
      <c r="L342" s="36"/>
      <c r="M342" s="36"/>
      <c r="N342" s="36"/>
      <c r="O342" s="36"/>
    </row>
    <row r="343" spans="1:15" ht="18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40"/>
      <c r="L343" s="36"/>
      <c r="M343" s="36"/>
      <c r="N343" s="36"/>
      <c r="O343" s="36"/>
    </row>
    <row r="344" spans="1:15" ht="18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40"/>
      <c r="L344" s="36"/>
      <c r="M344" s="36"/>
      <c r="N344" s="36"/>
      <c r="O344" s="36"/>
    </row>
    <row r="345" spans="1:15" ht="18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40"/>
      <c r="L345" s="36"/>
      <c r="M345" s="36"/>
      <c r="N345" s="36"/>
      <c r="O345" s="36"/>
    </row>
    <row r="346" spans="1:15" ht="18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40"/>
      <c r="L346" s="36"/>
      <c r="M346" s="36"/>
      <c r="N346" s="36"/>
      <c r="O346" s="36"/>
    </row>
    <row r="347" spans="1:15" ht="18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40"/>
      <c r="L347" s="36"/>
      <c r="M347" s="36"/>
      <c r="N347" s="36"/>
      <c r="O347" s="36"/>
    </row>
    <row r="348" spans="1:15" ht="18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40"/>
      <c r="L348" s="36"/>
      <c r="M348" s="36"/>
      <c r="N348" s="36"/>
      <c r="O348" s="36"/>
    </row>
    <row r="349" spans="1:15" ht="18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40"/>
      <c r="L349" s="36"/>
      <c r="M349" s="36"/>
      <c r="N349" s="36"/>
      <c r="O349" s="36"/>
    </row>
    <row r="350" spans="1:15" ht="18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40"/>
      <c r="L350" s="36"/>
      <c r="M350" s="36"/>
      <c r="N350" s="36"/>
      <c r="O350" s="36"/>
    </row>
    <row r="351" spans="1:15" ht="18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40"/>
      <c r="L351" s="36"/>
      <c r="M351" s="36"/>
      <c r="N351" s="36"/>
      <c r="O351" s="36"/>
    </row>
    <row r="352" spans="1:15" ht="18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40"/>
      <c r="L352" s="36"/>
      <c r="M352" s="36"/>
      <c r="N352" s="36"/>
      <c r="O352" s="36"/>
    </row>
    <row r="353" spans="1:15" ht="18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40"/>
      <c r="L353" s="36"/>
      <c r="M353" s="36"/>
      <c r="N353" s="36"/>
      <c r="O353" s="36"/>
    </row>
    <row r="354" spans="1:15" ht="18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40"/>
      <c r="L354" s="36"/>
      <c r="M354" s="36"/>
      <c r="N354" s="36"/>
      <c r="O354" s="36"/>
    </row>
    <row r="355" spans="1:15" ht="18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40"/>
      <c r="L355" s="36"/>
      <c r="M355" s="36"/>
      <c r="N355" s="36"/>
      <c r="O355" s="36"/>
    </row>
    <row r="356" spans="1:15" ht="18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40"/>
      <c r="L356" s="36"/>
      <c r="M356" s="36"/>
      <c r="N356" s="36"/>
      <c r="O356" s="36"/>
    </row>
    <row r="357" spans="1:15" ht="18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40"/>
      <c r="L357" s="36"/>
      <c r="M357" s="36"/>
      <c r="N357" s="36"/>
      <c r="O357" s="36"/>
    </row>
    <row r="358" spans="1:15" ht="18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40"/>
      <c r="L358" s="36"/>
      <c r="M358" s="36"/>
      <c r="N358" s="36"/>
      <c r="O358" s="36"/>
    </row>
    <row r="359" spans="1:15" ht="18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40"/>
      <c r="L359" s="36"/>
      <c r="M359" s="36"/>
      <c r="N359" s="36"/>
      <c r="O359" s="36"/>
    </row>
    <row r="360" spans="1:15" ht="18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40"/>
      <c r="L360" s="36"/>
      <c r="M360" s="36"/>
      <c r="N360" s="36"/>
      <c r="O360" s="36"/>
    </row>
    <row r="361" spans="1:15" ht="18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40"/>
      <c r="L361" s="36"/>
      <c r="M361" s="36"/>
      <c r="N361" s="36"/>
      <c r="O361" s="36"/>
    </row>
    <row r="362" spans="1:15" ht="18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40"/>
      <c r="L362" s="36"/>
      <c r="M362" s="36"/>
      <c r="N362" s="36"/>
      <c r="O362" s="36"/>
    </row>
    <row r="363" spans="1:15" ht="18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40"/>
      <c r="L363" s="36"/>
      <c r="M363" s="36"/>
      <c r="N363" s="36"/>
      <c r="O363" s="36"/>
    </row>
    <row r="364" spans="1:15" ht="18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40"/>
      <c r="L364" s="36"/>
      <c r="M364" s="36"/>
      <c r="N364" s="36"/>
      <c r="O364" s="36"/>
    </row>
    <row r="365" spans="1:15" ht="18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40"/>
      <c r="L365" s="36"/>
      <c r="M365" s="36"/>
      <c r="N365" s="36"/>
      <c r="O365" s="36"/>
    </row>
    <row r="366" spans="1:15" ht="18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40"/>
      <c r="L366" s="36"/>
      <c r="M366" s="36"/>
      <c r="N366" s="36"/>
      <c r="O366" s="36"/>
    </row>
    <row r="367" spans="1:15" ht="18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40"/>
      <c r="L367" s="36"/>
      <c r="M367" s="36"/>
      <c r="N367" s="36"/>
      <c r="O367" s="36"/>
    </row>
    <row r="368" spans="1:15" ht="18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40"/>
      <c r="L368" s="36"/>
      <c r="M368" s="36"/>
      <c r="N368" s="36"/>
      <c r="O368" s="36"/>
    </row>
    <row r="369" spans="1:15" ht="18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40"/>
      <c r="L369" s="36"/>
      <c r="M369" s="36"/>
      <c r="N369" s="36"/>
      <c r="O369" s="36"/>
    </row>
    <row r="370" spans="1:15" ht="18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40"/>
      <c r="L370" s="36"/>
      <c r="M370" s="36"/>
      <c r="N370" s="36"/>
      <c r="O370" s="36"/>
    </row>
    <row r="371" spans="1:15" ht="18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40"/>
      <c r="L371" s="36"/>
      <c r="M371" s="36"/>
      <c r="N371" s="36"/>
      <c r="O371" s="36"/>
    </row>
    <row r="372" spans="1:15" ht="18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40"/>
      <c r="L372" s="36"/>
      <c r="M372" s="36"/>
      <c r="N372" s="36"/>
      <c r="O372" s="36"/>
    </row>
    <row r="373" spans="1:15" ht="18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40"/>
      <c r="L373" s="36"/>
      <c r="M373" s="36"/>
      <c r="N373" s="36"/>
      <c r="O373" s="36"/>
    </row>
    <row r="374" spans="1:15" ht="18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40"/>
      <c r="L374" s="36"/>
      <c r="M374" s="36"/>
      <c r="N374" s="36"/>
      <c r="O374" s="36"/>
    </row>
    <row r="375" spans="1:15" ht="18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40"/>
      <c r="L375" s="36"/>
      <c r="M375" s="36"/>
      <c r="N375" s="36"/>
      <c r="O375" s="36"/>
    </row>
    <row r="376" spans="1:15" ht="18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40"/>
      <c r="L376" s="36"/>
      <c r="M376" s="36"/>
      <c r="N376" s="36"/>
      <c r="O376" s="36"/>
    </row>
    <row r="377" spans="1:15" ht="18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40"/>
      <c r="L377" s="36"/>
      <c r="M377" s="36"/>
      <c r="N377" s="36"/>
      <c r="O377" s="36"/>
    </row>
    <row r="378" spans="1:15" ht="18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40"/>
      <c r="L378" s="36"/>
      <c r="M378" s="36"/>
      <c r="N378" s="36"/>
      <c r="O378" s="36"/>
    </row>
    <row r="379" spans="1:15" ht="18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40"/>
      <c r="L379" s="36"/>
      <c r="M379" s="36"/>
      <c r="N379" s="36"/>
      <c r="O379" s="36"/>
    </row>
    <row r="380" spans="1:15" ht="18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40"/>
      <c r="L380" s="36"/>
      <c r="M380" s="36"/>
      <c r="N380" s="36"/>
      <c r="O380" s="36"/>
    </row>
    <row r="381" spans="1:15" ht="18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40"/>
      <c r="L381" s="36"/>
      <c r="M381" s="36"/>
      <c r="N381" s="36"/>
      <c r="O381" s="36"/>
    </row>
    <row r="382" spans="1:15" ht="18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40"/>
      <c r="L382" s="36"/>
      <c r="M382" s="36"/>
      <c r="N382" s="36"/>
      <c r="O382" s="36"/>
    </row>
    <row r="383" spans="1:15" ht="18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40"/>
      <c r="L383" s="36"/>
      <c r="M383" s="36"/>
      <c r="N383" s="36"/>
      <c r="O383" s="36"/>
    </row>
    <row r="384" spans="1:15" ht="18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40"/>
      <c r="L384" s="36"/>
      <c r="M384" s="36"/>
      <c r="N384" s="36"/>
      <c r="O384" s="36"/>
    </row>
    <row r="385" spans="1:15" ht="18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40"/>
      <c r="L385" s="36"/>
      <c r="M385" s="36"/>
      <c r="N385" s="36"/>
      <c r="O385" s="36"/>
    </row>
    <row r="386" spans="1:15" ht="18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40"/>
      <c r="L386" s="36"/>
      <c r="M386" s="36"/>
      <c r="N386" s="36"/>
      <c r="O386" s="36"/>
    </row>
    <row r="387" spans="1:15" ht="18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40"/>
      <c r="L387" s="36"/>
      <c r="M387" s="36"/>
      <c r="N387" s="36"/>
      <c r="O387" s="36"/>
    </row>
    <row r="388" spans="1:15" ht="18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40"/>
      <c r="L388" s="36"/>
      <c r="M388" s="36"/>
      <c r="N388" s="36"/>
      <c r="O388" s="36"/>
    </row>
    <row r="389" spans="1:15" ht="18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40"/>
      <c r="L389" s="36"/>
      <c r="M389" s="36"/>
      <c r="N389" s="36"/>
      <c r="O389" s="36"/>
    </row>
    <row r="390" spans="1:15" ht="18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40"/>
      <c r="L390" s="36"/>
      <c r="M390" s="36"/>
      <c r="N390" s="36"/>
      <c r="O390" s="36"/>
    </row>
    <row r="391" spans="1:15" ht="18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40"/>
      <c r="L391" s="36"/>
      <c r="M391" s="36"/>
      <c r="N391" s="36"/>
      <c r="O391" s="36"/>
    </row>
    <row r="392" spans="1:15" ht="18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40"/>
      <c r="L392" s="36"/>
      <c r="M392" s="36"/>
      <c r="N392" s="36"/>
      <c r="O392" s="36"/>
    </row>
    <row r="393" spans="1:15" ht="18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40"/>
      <c r="L393" s="36"/>
      <c r="M393" s="36"/>
      <c r="N393" s="36"/>
      <c r="O393" s="36"/>
    </row>
    <row r="394" spans="1:15" ht="18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40"/>
      <c r="L394" s="36"/>
      <c r="M394" s="36"/>
      <c r="N394" s="36"/>
      <c r="O394" s="36"/>
    </row>
    <row r="395" spans="1:15" ht="18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40"/>
      <c r="L395" s="36"/>
      <c r="M395" s="36"/>
      <c r="N395" s="36"/>
      <c r="O395" s="36"/>
    </row>
    <row r="396" spans="1:15" ht="18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40"/>
      <c r="L396" s="36"/>
      <c r="M396" s="36"/>
      <c r="N396" s="36"/>
      <c r="O396" s="36"/>
    </row>
    <row r="397" spans="1:15" ht="18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40"/>
      <c r="L397" s="36"/>
      <c r="M397" s="36"/>
      <c r="N397" s="36"/>
      <c r="O397" s="36"/>
    </row>
    <row r="398" spans="1:15" ht="18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40"/>
      <c r="L398" s="36"/>
      <c r="M398" s="36"/>
      <c r="N398" s="36"/>
      <c r="O398" s="36"/>
    </row>
    <row r="399" spans="1:15" ht="18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40"/>
      <c r="L399" s="36"/>
      <c r="M399" s="36"/>
      <c r="N399" s="36"/>
      <c r="O399" s="36"/>
    </row>
    <row r="400" spans="1:15" ht="18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40"/>
      <c r="L400" s="36"/>
      <c r="M400" s="36"/>
      <c r="N400" s="36"/>
      <c r="O400" s="36"/>
    </row>
    <row r="401" spans="1:15" ht="18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40"/>
      <c r="L401" s="36"/>
      <c r="M401" s="36"/>
      <c r="N401" s="36"/>
      <c r="O401" s="36"/>
    </row>
    <row r="402" spans="1:15" ht="18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40"/>
      <c r="L402" s="36"/>
      <c r="M402" s="36"/>
      <c r="N402" s="36"/>
      <c r="O402" s="36"/>
    </row>
    <row r="403" spans="1:15" ht="18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40"/>
      <c r="L403" s="36"/>
      <c r="M403" s="36"/>
      <c r="N403" s="36"/>
      <c r="O403" s="36"/>
    </row>
    <row r="404" spans="1:15" ht="18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40"/>
      <c r="L404" s="36"/>
      <c r="M404" s="36"/>
      <c r="N404" s="36"/>
      <c r="O404" s="36"/>
    </row>
    <row r="405" spans="1:15" ht="18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40"/>
      <c r="L405" s="36"/>
      <c r="M405" s="36"/>
      <c r="N405" s="36"/>
      <c r="O405" s="36"/>
    </row>
    <row r="406" spans="1:15" ht="18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40"/>
      <c r="L406" s="36"/>
      <c r="M406" s="36"/>
      <c r="N406" s="36"/>
      <c r="O406" s="36"/>
    </row>
    <row r="407" spans="1:15" ht="18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40"/>
      <c r="L407" s="36"/>
      <c r="M407" s="36"/>
      <c r="N407" s="36"/>
      <c r="O407" s="36"/>
    </row>
    <row r="408" spans="1:15" ht="18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40"/>
      <c r="L408" s="36"/>
      <c r="M408" s="36"/>
      <c r="N408" s="36"/>
      <c r="O408" s="36"/>
    </row>
    <row r="409" spans="1:15" ht="18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40"/>
      <c r="L409" s="36"/>
      <c r="M409" s="36"/>
      <c r="N409" s="36"/>
      <c r="O409" s="36"/>
    </row>
    <row r="410" spans="1:15" ht="18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40"/>
      <c r="L410" s="36"/>
      <c r="M410" s="36"/>
      <c r="N410" s="36"/>
      <c r="O410" s="36"/>
    </row>
    <row r="411" spans="1:15" ht="18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40"/>
      <c r="L411" s="36"/>
      <c r="M411" s="36"/>
      <c r="N411" s="36"/>
      <c r="O411" s="36"/>
    </row>
    <row r="412" spans="1:15" ht="18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40"/>
      <c r="L412" s="36"/>
      <c r="M412" s="36"/>
      <c r="N412" s="36"/>
      <c r="O412" s="36"/>
    </row>
    <row r="413" spans="1:15" ht="18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40"/>
      <c r="L413" s="36"/>
      <c r="M413" s="36"/>
      <c r="N413" s="36"/>
      <c r="O413" s="36"/>
    </row>
    <row r="414" spans="1:15" ht="18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40"/>
      <c r="L414" s="36"/>
      <c r="M414" s="36"/>
      <c r="N414" s="36"/>
      <c r="O414" s="36"/>
    </row>
    <row r="415" spans="1:15" ht="18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40"/>
      <c r="L415" s="36"/>
      <c r="M415" s="36"/>
      <c r="N415" s="36"/>
      <c r="O415" s="36"/>
    </row>
    <row r="416" spans="1:15" ht="18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40"/>
      <c r="L416" s="36"/>
      <c r="M416" s="36"/>
      <c r="N416" s="36"/>
      <c r="O416" s="36"/>
    </row>
    <row r="417" spans="1:15" ht="18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40"/>
      <c r="L417" s="36"/>
      <c r="M417" s="36"/>
      <c r="N417" s="36"/>
      <c r="O417" s="36"/>
    </row>
    <row r="418" spans="1:15" ht="18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40"/>
      <c r="L418" s="36"/>
      <c r="M418" s="36"/>
      <c r="N418" s="36"/>
      <c r="O418" s="36"/>
    </row>
    <row r="419" spans="1:15" ht="18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40"/>
      <c r="L419" s="36"/>
      <c r="M419" s="36"/>
      <c r="N419" s="36"/>
      <c r="O419" s="36"/>
    </row>
    <row r="420" spans="1:15" ht="18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40"/>
      <c r="L420" s="36"/>
      <c r="M420" s="36"/>
      <c r="N420" s="36"/>
      <c r="O420" s="36"/>
    </row>
    <row r="421" spans="1:15" ht="18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40"/>
      <c r="L421" s="36"/>
      <c r="M421" s="36"/>
      <c r="N421" s="36"/>
      <c r="O421" s="36"/>
    </row>
    <row r="422" spans="1:15" ht="18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40"/>
      <c r="L422" s="36"/>
      <c r="M422" s="36"/>
      <c r="N422" s="36"/>
      <c r="O422" s="36"/>
    </row>
    <row r="423" spans="1:15" ht="18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40"/>
      <c r="L423" s="36"/>
      <c r="M423" s="36"/>
      <c r="N423" s="36"/>
      <c r="O423" s="36"/>
    </row>
    <row r="424" spans="1:15" ht="18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40"/>
      <c r="L424" s="36"/>
      <c r="M424" s="36"/>
      <c r="N424" s="36"/>
      <c r="O424" s="36"/>
    </row>
    <row r="425" spans="1:15" ht="18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40"/>
      <c r="L425" s="36"/>
      <c r="M425" s="36"/>
      <c r="N425" s="36"/>
      <c r="O425" s="36"/>
    </row>
    <row r="426" spans="1:15" ht="18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40"/>
      <c r="L426" s="36"/>
      <c r="M426" s="36"/>
      <c r="N426" s="36"/>
      <c r="O426" s="36"/>
    </row>
    <row r="427" spans="1:15" ht="18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40"/>
      <c r="L427" s="36"/>
      <c r="M427" s="36"/>
      <c r="N427" s="36"/>
      <c r="O427" s="36"/>
    </row>
    <row r="428" spans="1:15" ht="18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40"/>
      <c r="L428" s="36"/>
      <c r="M428" s="36"/>
      <c r="N428" s="36"/>
      <c r="O428" s="36"/>
    </row>
    <row r="429" spans="1:15" ht="18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40"/>
      <c r="L429" s="36"/>
      <c r="M429" s="36"/>
      <c r="N429" s="36"/>
      <c r="O429" s="36"/>
    </row>
    <row r="430" spans="1:15" ht="18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40"/>
      <c r="L430" s="36"/>
      <c r="M430" s="36"/>
      <c r="N430" s="36"/>
      <c r="O430" s="36"/>
    </row>
    <row r="431" spans="1:15" ht="18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40"/>
      <c r="L431" s="36"/>
      <c r="M431" s="36"/>
      <c r="N431" s="36"/>
      <c r="O431" s="36"/>
    </row>
    <row r="432" spans="1:15" ht="18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40"/>
      <c r="L432" s="36"/>
      <c r="M432" s="36"/>
      <c r="N432" s="36"/>
      <c r="O432" s="36"/>
    </row>
    <row r="433" spans="1:15" ht="18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40"/>
      <c r="L433" s="36"/>
      <c r="M433" s="36"/>
      <c r="N433" s="36"/>
      <c r="O433" s="36"/>
    </row>
    <row r="434" spans="1:15" ht="18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40"/>
      <c r="L434" s="36"/>
      <c r="M434" s="36"/>
      <c r="N434" s="36"/>
      <c r="O434" s="36"/>
    </row>
    <row r="435" spans="1:15" ht="18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40"/>
      <c r="L435" s="36"/>
      <c r="M435" s="36"/>
      <c r="N435" s="36"/>
      <c r="O435" s="36"/>
    </row>
    <row r="436" spans="1:15" ht="18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40"/>
      <c r="L436" s="36"/>
      <c r="M436" s="36"/>
      <c r="N436" s="36"/>
      <c r="O436" s="36"/>
    </row>
    <row r="437" spans="1:15" ht="18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40"/>
      <c r="L437" s="36"/>
      <c r="M437" s="36"/>
      <c r="N437" s="36"/>
      <c r="O437" s="36"/>
    </row>
    <row r="438" spans="1:15" ht="18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40"/>
      <c r="L438" s="36"/>
      <c r="M438" s="36"/>
      <c r="N438" s="36"/>
      <c r="O438" s="36"/>
    </row>
    <row r="439" spans="1:15" ht="18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40"/>
      <c r="L439" s="36"/>
      <c r="M439" s="36"/>
      <c r="N439" s="36"/>
      <c r="O439" s="36"/>
    </row>
    <row r="440" spans="1:15" ht="18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40"/>
      <c r="L440" s="36"/>
      <c r="M440" s="36"/>
      <c r="N440" s="36"/>
      <c r="O440" s="36"/>
    </row>
    <row r="441" spans="1:15" ht="18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40"/>
      <c r="L441" s="36"/>
      <c r="M441" s="36"/>
      <c r="N441" s="36"/>
      <c r="O441" s="36"/>
    </row>
    <row r="442" spans="1:15" ht="18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40"/>
      <c r="L442" s="36"/>
      <c r="M442" s="36"/>
      <c r="N442" s="36"/>
      <c r="O442" s="36"/>
    </row>
    <row r="443" spans="1:15" ht="18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40"/>
      <c r="L443" s="36"/>
      <c r="M443" s="36"/>
      <c r="N443" s="36"/>
      <c r="O443" s="36"/>
    </row>
    <row r="444" spans="1:15" ht="18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40"/>
      <c r="L444" s="36"/>
      <c r="M444" s="36"/>
      <c r="N444" s="36"/>
      <c r="O444" s="36"/>
    </row>
    <row r="445" spans="1:15" ht="18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40"/>
      <c r="L445" s="36"/>
      <c r="M445" s="36"/>
      <c r="N445" s="36"/>
      <c r="O445" s="36"/>
    </row>
    <row r="446" spans="1:15" ht="18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40"/>
      <c r="L446" s="36"/>
      <c r="M446" s="36"/>
      <c r="N446" s="36"/>
      <c r="O446" s="36"/>
    </row>
    <row r="447" spans="1:15" ht="18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40"/>
      <c r="L447" s="36"/>
      <c r="M447" s="36"/>
      <c r="N447" s="36"/>
      <c r="O447" s="36"/>
    </row>
    <row r="448" spans="1:15" ht="18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40"/>
      <c r="L448" s="36"/>
      <c r="M448" s="36"/>
      <c r="N448" s="36"/>
      <c r="O448" s="36"/>
    </row>
    <row r="449" spans="1:15" ht="18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40"/>
      <c r="L449" s="36"/>
      <c r="M449" s="36"/>
      <c r="N449" s="36"/>
      <c r="O449" s="36"/>
    </row>
    <row r="450" spans="1:15" ht="18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40"/>
      <c r="L450" s="36"/>
      <c r="M450" s="36"/>
      <c r="N450" s="36"/>
      <c r="O450" s="36"/>
    </row>
    <row r="451" spans="1:15" ht="18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40"/>
      <c r="L451" s="36"/>
      <c r="M451" s="36"/>
      <c r="N451" s="36"/>
      <c r="O451" s="36"/>
    </row>
    <row r="452" spans="1:15" ht="18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40"/>
      <c r="L452" s="36"/>
      <c r="M452" s="36"/>
      <c r="N452" s="36"/>
      <c r="O452" s="36"/>
    </row>
    <row r="453" spans="1:15" ht="18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40"/>
      <c r="L453" s="36"/>
      <c r="M453" s="36"/>
      <c r="N453" s="36"/>
      <c r="O453" s="36"/>
    </row>
    <row r="454" spans="1:15" ht="18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40"/>
      <c r="L454" s="36"/>
      <c r="M454" s="36"/>
      <c r="N454" s="36"/>
      <c r="O454" s="36"/>
    </row>
    <row r="455" spans="1:15" ht="18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40"/>
      <c r="L455" s="36"/>
      <c r="M455" s="36"/>
      <c r="N455" s="36"/>
      <c r="O455" s="36"/>
    </row>
    <row r="456" spans="1:15" ht="18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40"/>
      <c r="L456" s="36"/>
      <c r="M456" s="36"/>
      <c r="N456" s="36"/>
      <c r="O456" s="36"/>
    </row>
    <row r="457" spans="1:15" ht="18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40"/>
      <c r="L457" s="36"/>
      <c r="M457" s="36"/>
      <c r="N457" s="36"/>
      <c r="O457" s="36"/>
    </row>
    <row r="458" spans="1:15" ht="18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40"/>
      <c r="L458" s="36"/>
      <c r="M458" s="36"/>
      <c r="N458" s="36"/>
      <c r="O458" s="36"/>
    </row>
    <row r="459" spans="1:15" ht="18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40"/>
      <c r="L459" s="36"/>
      <c r="M459" s="36"/>
      <c r="N459" s="36"/>
      <c r="O459" s="36"/>
    </row>
    <row r="460" spans="1:15" ht="18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40"/>
      <c r="L460" s="36"/>
      <c r="M460" s="36"/>
      <c r="N460" s="36"/>
      <c r="O460" s="36"/>
    </row>
    <row r="461" spans="1:15" ht="18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40"/>
      <c r="L461" s="36"/>
      <c r="M461" s="36"/>
      <c r="N461" s="36"/>
      <c r="O461" s="36"/>
    </row>
    <row r="462" spans="1:15" ht="18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40"/>
      <c r="L462" s="36"/>
      <c r="M462" s="36"/>
      <c r="N462" s="36"/>
      <c r="O462" s="36"/>
    </row>
    <row r="463" spans="1:15" ht="18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40"/>
      <c r="L463" s="36"/>
      <c r="M463" s="36"/>
      <c r="N463" s="36"/>
      <c r="O463" s="36"/>
    </row>
    <row r="464" spans="1:15" ht="18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40"/>
      <c r="L464" s="36"/>
      <c r="M464" s="36"/>
      <c r="N464" s="36"/>
      <c r="O464" s="36"/>
    </row>
    <row r="465" spans="1:15" ht="18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40"/>
      <c r="L465" s="36"/>
      <c r="M465" s="36"/>
      <c r="N465" s="36"/>
      <c r="O465" s="36"/>
    </row>
    <row r="466" spans="1:15" ht="18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40"/>
      <c r="L466" s="36"/>
      <c r="M466" s="36"/>
      <c r="N466" s="36"/>
      <c r="O466" s="36"/>
    </row>
    <row r="467" spans="1:15" ht="18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40"/>
      <c r="L467" s="36"/>
      <c r="M467" s="36"/>
      <c r="N467" s="36"/>
      <c r="O467" s="36"/>
    </row>
    <row r="468" spans="1:15" ht="18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40"/>
      <c r="L468" s="36"/>
      <c r="M468" s="36"/>
      <c r="N468" s="36"/>
      <c r="O468" s="36"/>
    </row>
    <row r="469" spans="1:15" ht="18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40"/>
      <c r="L469" s="36"/>
      <c r="M469" s="36"/>
      <c r="N469" s="36"/>
      <c r="O469" s="36"/>
    </row>
    <row r="470" spans="1:15" ht="18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40"/>
      <c r="L470" s="36"/>
      <c r="M470" s="36"/>
      <c r="N470" s="36"/>
      <c r="O470" s="36"/>
    </row>
    <row r="471" spans="1:15" ht="18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40"/>
      <c r="L471" s="36"/>
      <c r="M471" s="36"/>
      <c r="N471" s="36"/>
      <c r="O471" s="36"/>
    </row>
    <row r="472" spans="1:15" ht="18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40"/>
      <c r="L472" s="36"/>
      <c r="M472" s="36"/>
      <c r="N472" s="36"/>
      <c r="O472" s="36"/>
    </row>
    <row r="473" spans="1:15" ht="18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40"/>
      <c r="L473" s="36"/>
      <c r="M473" s="36"/>
      <c r="N473" s="36"/>
      <c r="O473" s="36"/>
    </row>
    <row r="474" spans="1:15" ht="18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40"/>
      <c r="L474" s="36"/>
      <c r="M474" s="36"/>
      <c r="N474" s="36"/>
      <c r="O474" s="36"/>
    </row>
    <row r="475" spans="1:15" ht="18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40"/>
      <c r="L475" s="36"/>
      <c r="M475" s="36"/>
      <c r="N475" s="36"/>
      <c r="O475" s="36"/>
    </row>
    <row r="476" spans="1:15" ht="18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40"/>
      <c r="L476" s="36"/>
      <c r="M476" s="36"/>
      <c r="N476" s="36"/>
      <c r="O476" s="36"/>
    </row>
    <row r="477" spans="1:15" ht="18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40"/>
      <c r="L477" s="36"/>
      <c r="M477" s="36"/>
      <c r="N477" s="36"/>
      <c r="O477" s="36"/>
    </row>
    <row r="478" spans="1:15" ht="18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40"/>
      <c r="L478" s="36"/>
      <c r="M478" s="36"/>
      <c r="N478" s="36"/>
      <c r="O478" s="36"/>
    </row>
    <row r="479" spans="1:15" ht="18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40"/>
      <c r="L479" s="36"/>
      <c r="M479" s="36"/>
      <c r="N479" s="36"/>
      <c r="O479" s="36"/>
    </row>
    <row r="480" spans="1:15" ht="18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40"/>
      <c r="L480" s="36"/>
      <c r="M480" s="36"/>
      <c r="N480" s="36"/>
      <c r="O480" s="36"/>
    </row>
    <row r="481" spans="1:15" ht="18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40"/>
      <c r="L481" s="36"/>
      <c r="M481" s="36"/>
      <c r="N481" s="36"/>
      <c r="O481" s="36"/>
    </row>
    <row r="482" spans="1:15" ht="18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40"/>
      <c r="L482" s="36"/>
      <c r="M482" s="36"/>
      <c r="N482" s="36"/>
      <c r="O482" s="36"/>
    </row>
    <row r="483" spans="1:15" ht="18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40"/>
      <c r="L483" s="36"/>
      <c r="M483" s="36"/>
      <c r="N483" s="36"/>
      <c r="O483" s="36"/>
    </row>
    <row r="484" spans="1:15" ht="18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40"/>
      <c r="L484" s="36"/>
      <c r="M484" s="36"/>
      <c r="N484" s="36"/>
      <c r="O484" s="36"/>
    </row>
    <row r="485" spans="1:15" ht="18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40"/>
      <c r="L485" s="36"/>
      <c r="M485" s="36"/>
      <c r="N485" s="36"/>
      <c r="O485" s="36"/>
    </row>
    <row r="486" spans="1:15" ht="18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40"/>
      <c r="L486" s="36"/>
      <c r="M486" s="36"/>
      <c r="N486" s="36"/>
      <c r="O486" s="36"/>
    </row>
    <row r="487" spans="1:15" ht="18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40"/>
      <c r="L487" s="36"/>
      <c r="M487" s="36"/>
      <c r="N487" s="36"/>
      <c r="O487" s="36"/>
    </row>
    <row r="488" spans="1:15" ht="18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40"/>
      <c r="L488" s="36"/>
      <c r="M488" s="36"/>
      <c r="N488" s="36"/>
      <c r="O488" s="36"/>
    </row>
    <row r="489" spans="1:15" ht="18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40"/>
      <c r="L489" s="36"/>
      <c r="M489" s="36"/>
      <c r="N489" s="36"/>
      <c r="O489" s="36"/>
    </row>
    <row r="490" spans="1:15" ht="18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40"/>
      <c r="L490" s="36"/>
      <c r="M490" s="36"/>
      <c r="N490" s="36"/>
      <c r="O490" s="36"/>
    </row>
    <row r="491" spans="1:15" ht="18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40"/>
      <c r="L491" s="36"/>
      <c r="M491" s="36"/>
      <c r="N491" s="36"/>
      <c r="O491" s="36"/>
    </row>
    <row r="492" spans="1:15" ht="18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40"/>
      <c r="L492" s="36"/>
      <c r="M492" s="36"/>
      <c r="N492" s="36"/>
      <c r="O492" s="36"/>
    </row>
    <row r="493" spans="1:15" ht="18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40"/>
      <c r="L493" s="36"/>
      <c r="M493" s="36"/>
      <c r="N493" s="36"/>
      <c r="O493" s="36"/>
    </row>
    <row r="494" spans="1:15" ht="18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40"/>
      <c r="L494" s="36"/>
      <c r="M494" s="36"/>
      <c r="N494" s="36"/>
      <c r="O494" s="36"/>
    </row>
    <row r="495" spans="1:15" ht="18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40"/>
      <c r="L495" s="36"/>
      <c r="M495" s="36"/>
      <c r="N495" s="36"/>
      <c r="O495" s="36"/>
    </row>
    <row r="496" spans="1:15" ht="18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40"/>
      <c r="L496" s="36"/>
      <c r="M496" s="36"/>
      <c r="N496" s="36"/>
      <c r="O496" s="36"/>
    </row>
    <row r="497" spans="1:15" ht="18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40"/>
      <c r="L497" s="36"/>
      <c r="M497" s="36"/>
      <c r="N497" s="36"/>
      <c r="O497" s="36"/>
    </row>
    <row r="498" spans="1:15" ht="18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40"/>
      <c r="L498" s="36"/>
      <c r="M498" s="36"/>
      <c r="N498" s="36"/>
      <c r="O498" s="36"/>
    </row>
    <row r="499" spans="1:15" ht="18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40"/>
      <c r="L499" s="36"/>
      <c r="M499" s="36"/>
      <c r="N499" s="36"/>
      <c r="O499" s="36"/>
    </row>
    <row r="500" spans="1:15" ht="18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40"/>
      <c r="L500" s="36"/>
      <c r="M500" s="36"/>
      <c r="N500" s="36"/>
      <c r="O500" s="36"/>
    </row>
    <row r="501" spans="1:15" ht="18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40"/>
      <c r="L501" s="36"/>
      <c r="M501" s="36"/>
      <c r="N501" s="36"/>
      <c r="O501" s="36"/>
    </row>
    <row r="502" spans="1:15" ht="18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40"/>
      <c r="L502" s="36"/>
      <c r="M502" s="36"/>
      <c r="N502" s="36"/>
      <c r="O502" s="36"/>
    </row>
    <row r="503" spans="1:15" ht="18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40"/>
      <c r="L503" s="36"/>
      <c r="M503" s="36"/>
      <c r="N503" s="36"/>
      <c r="O503" s="36"/>
    </row>
    <row r="504" spans="1:15" ht="18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40"/>
      <c r="L504" s="36"/>
      <c r="M504" s="36"/>
      <c r="N504" s="36"/>
      <c r="O504" s="36"/>
    </row>
    <row r="505" spans="1:15" ht="18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40"/>
      <c r="L505" s="36"/>
      <c r="M505" s="36"/>
      <c r="N505" s="36"/>
      <c r="O505" s="36"/>
    </row>
    <row r="506" spans="1:15" ht="18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40"/>
      <c r="L506" s="36"/>
      <c r="M506" s="36"/>
      <c r="N506" s="36"/>
      <c r="O506" s="36"/>
    </row>
    <row r="507" spans="1:15" ht="18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40"/>
      <c r="L507" s="36"/>
      <c r="M507" s="36"/>
      <c r="N507" s="36"/>
      <c r="O507" s="36"/>
    </row>
    <row r="508" spans="1:15" ht="18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40"/>
      <c r="L508" s="36"/>
      <c r="M508" s="36"/>
      <c r="N508" s="36"/>
      <c r="O508" s="36"/>
    </row>
    <row r="509" spans="1:15" ht="18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40"/>
      <c r="L509" s="36"/>
      <c r="M509" s="36"/>
      <c r="N509" s="36"/>
      <c r="O509" s="36"/>
    </row>
    <row r="510" spans="1:15" ht="18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40"/>
      <c r="L510" s="36"/>
      <c r="M510" s="36"/>
      <c r="N510" s="36"/>
      <c r="O510" s="36"/>
    </row>
    <row r="511" spans="1:15" ht="18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40"/>
      <c r="L511" s="36"/>
      <c r="M511" s="36"/>
      <c r="N511" s="36"/>
      <c r="O511" s="36"/>
    </row>
    <row r="512" spans="1:15" ht="18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40"/>
      <c r="L512" s="36"/>
      <c r="M512" s="36"/>
      <c r="N512" s="36"/>
      <c r="O512" s="36"/>
    </row>
    <row r="513" spans="1:15" ht="18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40"/>
      <c r="L513" s="36"/>
      <c r="M513" s="36"/>
      <c r="N513" s="36"/>
      <c r="O513" s="36"/>
    </row>
    <row r="514" spans="1:15" ht="18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40"/>
      <c r="L514" s="36"/>
      <c r="M514" s="36"/>
      <c r="N514" s="36"/>
      <c r="O514" s="36"/>
    </row>
    <row r="515" spans="1:15" ht="18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40"/>
      <c r="L515" s="36"/>
      <c r="M515" s="36"/>
      <c r="N515" s="36"/>
      <c r="O515" s="36"/>
    </row>
    <row r="516" spans="1:15" ht="18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40"/>
      <c r="L516" s="36"/>
      <c r="M516" s="36"/>
      <c r="N516" s="36"/>
      <c r="O516" s="36"/>
    </row>
    <row r="517" spans="1:15" ht="18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40"/>
      <c r="L517" s="36"/>
      <c r="M517" s="36"/>
      <c r="N517" s="36"/>
      <c r="O517" s="36"/>
    </row>
    <row r="518" spans="1:15" ht="18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40"/>
      <c r="L518" s="36"/>
      <c r="M518" s="36"/>
      <c r="N518" s="36"/>
      <c r="O518" s="36"/>
    </row>
    <row r="519" spans="1:15" ht="18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40"/>
      <c r="L519" s="36"/>
      <c r="M519" s="36"/>
      <c r="N519" s="36"/>
      <c r="O519" s="36"/>
    </row>
    <row r="520" spans="1:15" ht="18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40"/>
      <c r="L520" s="36"/>
      <c r="M520" s="36"/>
      <c r="N520" s="36"/>
      <c r="O520" s="36"/>
    </row>
    <row r="521" spans="1:15" ht="18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40"/>
      <c r="L521" s="36"/>
      <c r="M521" s="36"/>
      <c r="N521" s="36"/>
      <c r="O521" s="36"/>
    </row>
    <row r="522" spans="1:15" ht="18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40"/>
      <c r="L522" s="36"/>
      <c r="M522" s="36"/>
      <c r="N522" s="36"/>
      <c r="O522" s="36"/>
    </row>
    <row r="523" spans="1:15" ht="18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40"/>
      <c r="L523" s="36"/>
      <c r="M523" s="36"/>
      <c r="N523" s="36"/>
      <c r="O523" s="36"/>
    </row>
    <row r="524" spans="1:15" ht="18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40"/>
      <c r="L524" s="36"/>
      <c r="M524" s="36"/>
      <c r="N524" s="36"/>
      <c r="O524" s="36"/>
    </row>
    <row r="525" spans="1:15" ht="18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40"/>
      <c r="L525" s="36"/>
      <c r="M525" s="36"/>
      <c r="N525" s="36"/>
      <c r="O525" s="36"/>
    </row>
    <row r="526" spans="1:15" ht="18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40"/>
      <c r="L526" s="36"/>
      <c r="M526" s="36"/>
      <c r="N526" s="36"/>
      <c r="O526" s="36"/>
    </row>
    <row r="527" spans="1:15" ht="18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40"/>
      <c r="L527" s="36"/>
      <c r="M527" s="36"/>
      <c r="N527" s="36"/>
      <c r="O527" s="36"/>
    </row>
    <row r="528" spans="1:15" ht="18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40"/>
      <c r="L528" s="36"/>
      <c r="M528" s="36"/>
      <c r="N528" s="36"/>
      <c r="O528" s="36"/>
    </row>
    <row r="529" spans="1:15" ht="18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40"/>
      <c r="L529" s="36"/>
      <c r="M529" s="36"/>
      <c r="N529" s="36"/>
      <c r="O529" s="36"/>
    </row>
    <row r="530" spans="1:15" ht="18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40"/>
      <c r="L530" s="36"/>
      <c r="M530" s="36"/>
      <c r="N530" s="36"/>
      <c r="O530" s="36"/>
    </row>
    <row r="531" spans="1:15" ht="18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40"/>
      <c r="L531" s="36"/>
      <c r="M531" s="36"/>
      <c r="N531" s="36"/>
      <c r="O531" s="36"/>
    </row>
    <row r="532" spans="1:15" ht="18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40"/>
      <c r="L532" s="36"/>
      <c r="M532" s="36"/>
      <c r="N532" s="36"/>
      <c r="O532" s="36"/>
    </row>
    <row r="533" spans="1:15" ht="18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40"/>
      <c r="L533" s="36"/>
      <c r="M533" s="36"/>
      <c r="N533" s="36"/>
      <c r="O533" s="36"/>
    </row>
    <row r="534" spans="1:15" ht="18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40"/>
      <c r="L534" s="36"/>
      <c r="M534" s="36"/>
      <c r="N534" s="36"/>
      <c r="O534" s="36"/>
    </row>
    <row r="535" spans="1:15" ht="18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40"/>
      <c r="L535" s="36"/>
      <c r="M535" s="36"/>
      <c r="N535" s="36"/>
      <c r="O535" s="36"/>
    </row>
    <row r="536" spans="1:15" ht="18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40"/>
      <c r="L536" s="36"/>
      <c r="M536" s="36"/>
      <c r="N536" s="36"/>
      <c r="O536" s="36"/>
    </row>
    <row r="537" spans="1:15" ht="18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40"/>
      <c r="L537" s="36"/>
      <c r="M537" s="36"/>
      <c r="N537" s="36"/>
      <c r="O537" s="36"/>
    </row>
    <row r="538" spans="1:15" ht="18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40"/>
      <c r="L538" s="36"/>
      <c r="M538" s="36"/>
      <c r="N538" s="36"/>
      <c r="O538" s="36"/>
    </row>
    <row r="539" spans="1:15" ht="18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40"/>
      <c r="L539" s="36"/>
      <c r="M539" s="36"/>
      <c r="N539" s="36"/>
      <c r="O539" s="36"/>
    </row>
    <row r="540" spans="1:15" ht="18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40"/>
      <c r="L540" s="36"/>
      <c r="M540" s="36"/>
      <c r="N540" s="36"/>
      <c r="O540" s="36"/>
    </row>
    <row r="541" spans="1:15" ht="18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40"/>
      <c r="L541" s="36"/>
      <c r="M541" s="36"/>
      <c r="N541" s="36"/>
      <c r="O541" s="36"/>
    </row>
    <row r="542" spans="1:15" ht="18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40"/>
      <c r="L542" s="36"/>
      <c r="M542" s="36"/>
      <c r="N542" s="36"/>
      <c r="O542" s="36"/>
    </row>
    <row r="543" spans="1:15" ht="18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40"/>
      <c r="L543" s="36"/>
      <c r="M543" s="36"/>
      <c r="N543" s="36"/>
      <c r="O543" s="36"/>
    </row>
    <row r="544" spans="1:15" ht="18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40"/>
      <c r="L544" s="36"/>
      <c r="M544" s="36"/>
      <c r="N544" s="36"/>
      <c r="O544" s="36"/>
    </row>
    <row r="545" spans="1:15" ht="18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40"/>
      <c r="L545" s="36"/>
      <c r="M545" s="36"/>
      <c r="N545" s="36"/>
      <c r="O545" s="36"/>
    </row>
    <row r="546" spans="1:15" ht="18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40"/>
      <c r="L546" s="36"/>
      <c r="M546" s="36"/>
      <c r="N546" s="36"/>
      <c r="O546" s="36"/>
    </row>
    <row r="547" spans="1:15" ht="18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40"/>
      <c r="L547" s="36"/>
      <c r="M547" s="36"/>
      <c r="N547" s="36"/>
      <c r="O547" s="36"/>
    </row>
    <row r="548" spans="1:15" ht="18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40"/>
      <c r="L548" s="36"/>
      <c r="M548" s="36"/>
      <c r="N548" s="36"/>
      <c r="O548" s="36"/>
    </row>
    <row r="549" spans="1:15" ht="18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40"/>
      <c r="L549" s="36"/>
      <c r="M549" s="36"/>
      <c r="N549" s="36"/>
      <c r="O549" s="36"/>
    </row>
    <row r="550" spans="1:15" ht="18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40"/>
      <c r="L550" s="36"/>
      <c r="M550" s="36"/>
      <c r="N550" s="36"/>
      <c r="O550" s="36"/>
    </row>
    <row r="551" spans="1:15" ht="18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40"/>
      <c r="L551" s="36"/>
      <c r="M551" s="36"/>
      <c r="N551" s="36"/>
      <c r="O551" s="36"/>
    </row>
    <row r="552" spans="1:15" ht="18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40"/>
      <c r="L552" s="36"/>
      <c r="M552" s="36"/>
      <c r="N552" s="36"/>
      <c r="O552" s="36"/>
    </row>
    <row r="553" spans="1:15" ht="18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40"/>
      <c r="L553" s="36"/>
      <c r="M553" s="36"/>
      <c r="N553" s="36"/>
      <c r="O553" s="36"/>
    </row>
    <row r="554" spans="1:15" ht="18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40"/>
      <c r="L554" s="36"/>
      <c r="M554" s="36"/>
      <c r="N554" s="36"/>
      <c r="O554" s="36"/>
    </row>
    <row r="555" spans="1:15" ht="18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40"/>
      <c r="L555" s="36"/>
      <c r="M555" s="36"/>
      <c r="N555" s="36"/>
      <c r="O555" s="36"/>
    </row>
    <row r="556" spans="1:15" ht="18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40"/>
      <c r="L556" s="36"/>
      <c r="M556" s="36"/>
      <c r="N556" s="36"/>
      <c r="O556" s="36"/>
    </row>
    <row r="557" spans="1:15" ht="18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40"/>
      <c r="L557" s="36"/>
      <c r="M557" s="36"/>
      <c r="N557" s="36"/>
      <c r="O557" s="36"/>
    </row>
    <row r="558" spans="1:15" ht="18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40"/>
      <c r="L558" s="36"/>
      <c r="M558" s="36"/>
      <c r="N558" s="36"/>
      <c r="O558" s="36"/>
    </row>
    <row r="559" spans="1:15" ht="18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40"/>
      <c r="L559" s="36"/>
      <c r="M559" s="36"/>
      <c r="N559" s="36"/>
      <c r="O559" s="36"/>
    </row>
    <row r="560" spans="1:15" ht="18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40"/>
      <c r="L560" s="36"/>
      <c r="M560" s="36"/>
      <c r="N560" s="36"/>
      <c r="O560" s="36"/>
    </row>
    <row r="561" spans="1:15" ht="18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40"/>
      <c r="L561" s="36"/>
      <c r="M561" s="36"/>
      <c r="N561" s="36"/>
      <c r="O561" s="36"/>
    </row>
    <row r="562" spans="1:15" ht="18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40"/>
      <c r="L562" s="36"/>
      <c r="M562" s="36"/>
      <c r="N562" s="36"/>
      <c r="O562" s="36"/>
    </row>
    <row r="563" spans="1:15" ht="18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40"/>
      <c r="L563" s="36"/>
      <c r="M563" s="36"/>
      <c r="N563" s="36"/>
      <c r="O563" s="36"/>
    </row>
    <row r="564" spans="1:15" ht="18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40"/>
      <c r="L564" s="36"/>
      <c r="M564" s="36"/>
      <c r="N564" s="36"/>
      <c r="O564" s="36"/>
    </row>
    <row r="565" spans="1:15" ht="18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40"/>
      <c r="L565" s="36"/>
      <c r="M565" s="36"/>
      <c r="N565" s="36"/>
      <c r="O565" s="36"/>
    </row>
    <row r="566" spans="1:15" ht="18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40"/>
      <c r="L566" s="36"/>
      <c r="M566" s="36"/>
      <c r="N566" s="36"/>
      <c r="O566" s="36"/>
    </row>
    <row r="567" spans="1:15" ht="18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40"/>
      <c r="L567" s="36"/>
      <c r="M567" s="36"/>
      <c r="N567" s="36"/>
      <c r="O567" s="36"/>
    </row>
    <row r="568" spans="1:15" ht="18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40"/>
      <c r="L568" s="36"/>
      <c r="M568" s="36"/>
      <c r="N568" s="36"/>
      <c r="O568" s="36"/>
    </row>
    <row r="569" spans="1:15" ht="18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40"/>
      <c r="L569" s="36"/>
      <c r="M569" s="36"/>
      <c r="N569" s="36"/>
      <c r="O569" s="36"/>
    </row>
    <row r="570" spans="1:15" ht="18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40"/>
      <c r="L570" s="36"/>
      <c r="M570" s="36"/>
      <c r="N570" s="36"/>
      <c r="O570" s="36"/>
    </row>
    <row r="571" spans="1:15" ht="18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40"/>
      <c r="L571" s="36"/>
      <c r="M571" s="36"/>
      <c r="N571" s="36"/>
      <c r="O571" s="36"/>
    </row>
    <row r="572" spans="1:15" ht="18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40"/>
      <c r="L572" s="36"/>
      <c r="M572" s="36"/>
      <c r="N572" s="36"/>
      <c r="O572" s="36"/>
    </row>
    <row r="573" spans="1:15" ht="18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40"/>
      <c r="L573" s="36"/>
      <c r="M573" s="36"/>
      <c r="N573" s="36"/>
      <c r="O573" s="36"/>
    </row>
    <row r="574" spans="1:15" ht="18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40"/>
      <c r="L574" s="36"/>
      <c r="M574" s="36"/>
      <c r="N574" s="36"/>
      <c r="O574" s="36"/>
    </row>
    <row r="575" spans="1:15" ht="18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40"/>
      <c r="L575" s="36"/>
      <c r="M575" s="36"/>
      <c r="N575" s="36"/>
      <c r="O575" s="36"/>
    </row>
    <row r="576" spans="1:15" ht="18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40"/>
      <c r="L576" s="36"/>
      <c r="M576" s="36"/>
      <c r="N576" s="36"/>
      <c r="O576" s="36"/>
    </row>
    <row r="577" spans="1:15" ht="18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40"/>
      <c r="L577" s="36"/>
      <c r="M577" s="36"/>
      <c r="N577" s="36"/>
      <c r="O577" s="36"/>
    </row>
    <row r="578" spans="1:15" ht="18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40"/>
      <c r="L578" s="36"/>
      <c r="M578" s="36"/>
      <c r="N578" s="36"/>
      <c r="O578" s="36"/>
    </row>
    <row r="579" spans="1:15" ht="18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40"/>
      <c r="L579" s="36"/>
      <c r="M579" s="36"/>
      <c r="N579" s="36"/>
      <c r="O579" s="36"/>
    </row>
    <row r="580" spans="1:15" ht="18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40"/>
      <c r="L580" s="36"/>
      <c r="M580" s="36"/>
      <c r="N580" s="36"/>
      <c r="O580" s="36"/>
    </row>
    <row r="581" spans="1:15" ht="18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40"/>
      <c r="L581" s="36"/>
      <c r="M581" s="36"/>
      <c r="N581" s="36"/>
      <c r="O581" s="36"/>
    </row>
    <row r="582" spans="1:15" ht="18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40"/>
      <c r="L582" s="36"/>
      <c r="M582" s="36"/>
      <c r="N582" s="36"/>
      <c r="O582" s="36"/>
    </row>
    <row r="583" spans="1:15" ht="18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40"/>
      <c r="L583" s="36"/>
      <c r="M583" s="36"/>
      <c r="N583" s="36"/>
      <c r="O583" s="36"/>
    </row>
    <row r="584" spans="1:15" ht="18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40"/>
      <c r="L584" s="36"/>
      <c r="M584" s="36"/>
      <c r="N584" s="36"/>
      <c r="O584" s="36"/>
    </row>
    <row r="585" spans="1:15" ht="18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40"/>
      <c r="L585" s="36"/>
      <c r="M585" s="36"/>
      <c r="N585" s="36"/>
      <c r="O585" s="36"/>
    </row>
    <row r="586" spans="1:15" ht="18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40"/>
      <c r="L586" s="36"/>
      <c r="M586" s="36"/>
      <c r="N586" s="36"/>
      <c r="O586" s="36"/>
    </row>
    <row r="587" spans="1:15" ht="18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40"/>
      <c r="L587" s="36"/>
      <c r="M587" s="36"/>
      <c r="N587" s="36"/>
      <c r="O587" s="36"/>
    </row>
    <row r="588" spans="1:15" ht="18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40"/>
      <c r="L588" s="36"/>
      <c r="M588" s="36"/>
      <c r="N588" s="36"/>
      <c r="O588" s="36"/>
    </row>
    <row r="589" spans="1:15" ht="18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40"/>
      <c r="L589" s="36"/>
      <c r="M589" s="36"/>
      <c r="N589" s="36"/>
      <c r="O589" s="36"/>
    </row>
    <row r="590" spans="1:15" ht="18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40"/>
      <c r="L590" s="36"/>
      <c r="M590" s="36"/>
      <c r="N590" s="36"/>
      <c r="O590" s="36"/>
    </row>
    <row r="591" spans="1:15" ht="18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40"/>
      <c r="L591" s="36"/>
      <c r="M591" s="36"/>
      <c r="N591" s="36"/>
      <c r="O591" s="36"/>
    </row>
    <row r="592" spans="1:15" ht="18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40"/>
      <c r="L592" s="36"/>
      <c r="M592" s="36"/>
      <c r="N592" s="36"/>
      <c r="O592" s="36"/>
    </row>
    <row r="593" spans="1:15" ht="18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40"/>
      <c r="L593" s="36"/>
      <c r="M593" s="36"/>
      <c r="N593" s="36"/>
      <c r="O593" s="36"/>
    </row>
    <row r="594" spans="1:15" ht="18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40"/>
      <c r="L594" s="36"/>
      <c r="M594" s="36"/>
      <c r="N594" s="36"/>
      <c r="O594" s="36"/>
    </row>
    <row r="595" spans="1:15" ht="18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40"/>
      <c r="L595" s="36"/>
      <c r="M595" s="36"/>
      <c r="N595" s="36"/>
      <c r="O595" s="36"/>
    </row>
    <row r="596" spans="1:15" ht="18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40"/>
      <c r="L596" s="36"/>
      <c r="M596" s="36"/>
      <c r="N596" s="36"/>
      <c r="O596" s="36"/>
    </row>
    <row r="597" spans="1:15" ht="18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40"/>
      <c r="L597" s="36"/>
      <c r="M597" s="36"/>
      <c r="N597" s="36"/>
      <c r="O597" s="36"/>
    </row>
    <row r="598" spans="1:15" ht="18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40"/>
      <c r="L598" s="36"/>
      <c r="M598" s="36"/>
      <c r="N598" s="36"/>
      <c r="O598" s="36"/>
    </row>
    <row r="599" spans="1:15" ht="18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40"/>
      <c r="L599" s="36"/>
      <c r="M599" s="36"/>
      <c r="N599" s="36"/>
      <c r="O599" s="36"/>
    </row>
    <row r="600" spans="1:15" ht="18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40"/>
      <c r="L600" s="36"/>
      <c r="M600" s="36"/>
      <c r="N600" s="36"/>
      <c r="O600" s="36"/>
    </row>
    <row r="601" spans="1:15" ht="18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40"/>
      <c r="L601" s="36"/>
      <c r="M601" s="36"/>
      <c r="N601" s="36"/>
      <c r="O601" s="36"/>
    </row>
    <row r="602" spans="1:15" ht="18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40"/>
      <c r="L602" s="36"/>
      <c r="M602" s="36"/>
      <c r="N602" s="36"/>
      <c r="O602" s="36"/>
    </row>
    <row r="603" spans="1:15" ht="18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40"/>
      <c r="L603" s="36"/>
      <c r="M603" s="36"/>
      <c r="N603" s="36"/>
      <c r="O603" s="36"/>
    </row>
    <row r="604" spans="1:15" ht="18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40"/>
      <c r="L604" s="36"/>
      <c r="M604" s="36"/>
      <c r="N604" s="36"/>
      <c r="O604" s="36"/>
    </row>
    <row r="605" spans="1:15" ht="18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40"/>
      <c r="L605" s="36"/>
      <c r="M605" s="36"/>
      <c r="N605" s="36"/>
      <c r="O605" s="36"/>
    </row>
    <row r="606" spans="1:15" ht="18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40"/>
      <c r="L606" s="36"/>
      <c r="M606" s="36"/>
      <c r="N606" s="36"/>
      <c r="O606" s="36"/>
    </row>
    <row r="607" spans="1:15" ht="18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40"/>
      <c r="L607" s="36"/>
      <c r="M607" s="36"/>
      <c r="N607" s="36"/>
      <c r="O607" s="36"/>
    </row>
    <row r="608" spans="1:15" ht="18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40"/>
      <c r="L608" s="36"/>
      <c r="M608" s="36"/>
      <c r="N608" s="36"/>
      <c r="O608" s="36"/>
    </row>
    <row r="609" spans="1:15" ht="18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40"/>
      <c r="L609" s="36"/>
      <c r="M609" s="36"/>
      <c r="N609" s="36"/>
      <c r="O609" s="36"/>
    </row>
    <row r="610" spans="1:15" ht="18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40"/>
      <c r="L610" s="36"/>
      <c r="M610" s="36"/>
      <c r="N610" s="36"/>
      <c r="O610" s="36"/>
    </row>
    <row r="611" spans="1:15" ht="18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40"/>
      <c r="L611" s="36"/>
      <c r="M611" s="36"/>
      <c r="N611" s="36"/>
      <c r="O611" s="36"/>
    </row>
    <row r="612" spans="1:15" ht="18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40"/>
      <c r="L612" s="36"/>
      <c r="M612" s="36"/>
      <c r="N612" s="36"/>
      <c r="O612" s="36"/>
    </row>
    <row r="613" spans="1:15" ht="18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40"/>
      <c r="L613" s="36"/>
      <c r="M613" s="36"/>
      <c r="N613" s="36"/>
      <c r="O613" s="36"/>
    </row>
    <row r="614" spans="1:15" ht="18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40"/>
      <c r="L614" s="36"/>
      <c r="M614" s="36"/>
      <c r="N614" s="36"/>
      <c r="O614" s="36"/>
    </row>
    <row r="615" spans="1:15" ht="18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40"/>
      <c r="L615" s="36"/>
      <c r="M615" s="36"/>
      <c r="N615" s="36"/>
      <c r="O615" s="36"/>
    </row>
    <row r="616" spans="1:15" ht="18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40"/>
      <c r="L616" s="36"/>
      <c r="M616" s="36"/>
      <c r="N616" s="36"/>
      <c r="O616" s="36"/>
    </row>
    <row r="617" spans="1:15" ht="18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40"/>
      <c r="L617" s="36"/>
      <c r="M617" s="36"/>
      <c r="N617" s="36"/>
      <c r="O617" s="36"/>
    </row>
    <row r="618" spans="1:15" ht="18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40"/>
      <c r="L618" s="36"/>
      <c r="M618" s="36"/>
      <c r="N618" s="36"/>
      <c r="O618" s="36"/>
    </row>
    <row r="619" spans="1:15" ht="18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40"/>
      <c r="L619" s="36"/>
      <c r="M619" s="36"/>
      <c r="N619" s="36"/>
      <c r="O619" s="36"/>
    </row>
    <row r="620" spans="1:15" ht="18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40"/>
      <c r="L620" s="36"/>
      <c r="M620" s="36"/>
      <c r="N620" s="36"/>
      <c r="O620" s="36"/>
    </row>
    <row r="621" spans="1:15" ht="18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40"/>
      <c r="L621" s="36"/>
      <c r="M621" s="36"/>
      <c r="N621" s="36"/>
      <c r="O621" s="36"/>
    </row>
    <row r="622" spans="1:15" ht="18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40"/>
      <c r="L622" s="36"/>
      <c r="M622" s="36"/>
      <c r="N622" s="36"/>
      <c r="O622" s="36"/>
    </row>
    <row r="623" spans="1:15" ht="18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40"/>
      <c r="L623" s="36"/>
      <c r="M623" s="36"/>
      <c r="N623" s="36"/>
      <c r="O623" s="36"/>
    </row>
    <row r="624" spans="1:15" ht="18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40"/>
      <c r="L624" s="36"/>
      <c r="M624" s="36"/>
      <c r="N624" s="36"/>
      <c r="O624" s="36"/>
    </row>
    <row r="625" spans="1:15" ht="18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40"/>
      <c r="L625" s="36"/>
      <c r="M625" s="36"/>
      <c r="N625" s="36"/>
      <c r="O625" s="36"/>
    </row>
    <row r="626" spans="1:15" ht="18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40"/>
      <c r="L626" s="36"/>
      <c r="M626" s="36"/>
      <c r="N626" s="36"/>
      <c r="O626" s="36"/>
    </row>
    <row r="627" spans="1:15" ht="18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40"/>
      <c r="L627" s="36"/>
      <c r="M627" s="36"/>
      <c r="N627" s="36"/>
      <c r="O627" s="36"/>
    </row>
    <row r="628" spans="1:15" ht="18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40"/>
      <c r="L628" s="36"/>
      <c r="M628" s="36"/>
      <c r="N628" s="36"/>
      <c r="O628" s="36"/>
    </row>
    <row r="629" spans="1:15" ht="18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40"/>
      <c r="L629" s="36"/>
      <c r="M629" s="36"/>
      <c r="N629" s="36"/>
      <c r="O629" s="36"/>
    </row>
    <row r="630" spans="1:15" ht="18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40"/>
      <c r="L630" s="36"/>
      <c r="M630" s="36"/>
      <c r="N630" s="36"/>
      <c r="O630" s="36"/>
    </row>
    <row r="631" spans="1:15" ht="18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40"/>
      <c r="L631" s="36"/>
      <c r="M631" s="36"/>
      <c r="N631" s="36"/>
      <c r="O631" s="36"/>
    </row>
    <row r="632" spans="1:15" ht="18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40"/>
      <c r="L632" s="36"/>
      <c r="M632" s="36"/>
      <c r="N632" s="36"/>
      <c r="O632" s="36"/>
    </row>
    <row r="633" spans="1:15" ht="18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40"/>
      <c r="L633" s="36"/>
      <c r="M633" s="36"/>
      <c r="N633" s="36"/>
      <c r="O633" s="36"/>
    </row>
    <row r="634" spans="1:15" ht="18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40"/>
      <c r="L634" s="36"/>
      <c r="M634" s="36"/>
      <c r="N634" s="36"/>
      <c r="O634" s="36"/>
    </row>
    <row r="635" spans="1:15" ht="18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40"/>
      <c r="L635" s="36"/>
      <c r="M635" s="36"/>
      <c r="N635" s="36"/>
      <c r="O635" s="36"/>
    </row>
    <row r="636" spans="1:15" ht="18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40"/>
      <c r="L636" s="36"/>
      <c r="M636" s="36"/>
      <c r="N636" s="36"/>
      <c r="O636" s="36"/>
    </row>
    <row r="637" spans="1:15" ht="18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40"/>
      <c r="L637" s="36"/>
      <c r="M637" s="36"/>
      <c r="N637" s="36"/>
      <c r="O637" s="36"/>
    </row>
    <row r="638" spans="1:15" ht="18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40"/>
      <c r="L638" s="36"/>
      <c r="M638" s="36"/>
      <c r="N638" s="36"/>
      <c r="O638" s="36"/>
    </row>
    <row r="639" spans="1:15" ht="18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40"/>
      <c r="L639" s="36"/>
      <c r="M639" s="36"/>
      <c r="N639" s="36"/>
      <c r="O639" s="36"/>
    </row>
    <row r="640" spans="1:15" ht="18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40"/>
      <c r="L640" s="36"/>
      <c r="M640" s="36"/>
      <c r="N640" s="36"/>
      <c r="O640" s="36"/>
    </row>
    <row r="641" spans="1:15" ht="18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40"/>
      <c r="L641" s="36"/>
      <c r="M641" s="36"/>
      <c r="N641" s="36"/>
      <c r="O641" s="36"/>
    </row>
    <row r="642" spans="1:15" ht="18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40"/>
      <c r="L642" s="36"/>
      <c r="M642" s="36"/>
      <c r="N642" s="36"/>
      <c r="O642" s="36"/>
    </row>
    <row r="643" spans="1:15" ht="18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40"/>
      <c r="L643" s="36"/>
      <c r="M643" s="36"/>
      <c r="N643" s="36"/>
      <c r="O643" s="36"/>
    </row>
    <row r="644" spans="1:15" ht="18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40"/>
      <c r="L644" s="36"/>
      <c r="M644" s="36"/>
      <c r="N644" s="36"/>
      <c r="O644" s="36"/>
    </row>
    <row r="645" spans="1:15" ht="18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40"/>
      <c r="L645" s="36"/>
      <c r="M645" s="36"/>
      <c r="N645" s="36"/>
      <c r="O645" s="36"/>
    </row>
    <row r="646" spans="1:15" ht="18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40"/>
      <c r="L646" s="36"/>
      <c r="M646" s="36"/>
      <c r="N646" s="36"/>
      <c r="O646" s="36"/>
    </row>
    <row r="647" spans="1:15" ht="18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40"/>
      <c r="L647" s="36"/>
      <c r="M647" s="36"/>
      <c r="N647" s="36"/>
      <c r="O647" s="36"/>
    </row>
    <row r="648" spans="1:15" ht="18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40"/>
      <c r="L648" s="36"/>
      <c r="M648" s="36"/>
      <c r="N648" s="36"/>
      <c r="O648" s="36"/>
    </row>
    <row r="649" spans="1:15" ht="18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40"/>
      <c r="L649" s="36"/>
      <c r="M649" s="36"/>
      <c r="N649" s="36"/>
      <c r="O649" s="36"/>
    </row>
    <row r="650" spans="1:15" ht="18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40"/>
      <c r="L650" s="36"/>
      <c r="M650" s="36"/>
      <c r="N650" s="36"/>
      <c r="O650" s="36"/>
    </row>
    <row r="651" spans="1:15" ht="18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40"/>
      <c r="L651" s="36"/>
      <c r="M651" s="36"/>
      <c r="N651" s="36"/>
      <c r="O651" s="36"/>
    </row>
    <row r="652" spans="1:15" ht="18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40"/>
      <c r="L652" s="36"/>
      <c r="M652" s="36"/>
      <c r="N652" s="36"/>
      <c r="O652" s="36"/>
    </row>
    <row r="653" spans="1:15" ht="18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40"/>
      <c r="L653" s="36"/>
      <c r="M653" s="36"/>
      <c r="N653" s="36"/>
      <c r="O653" s="36"/>
    </row>
    <row r="654" spans="1:15" ht="18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40"/>
      <c r="L654" s="36"/>
      <c r="M654" s="36"/>
      <c r="N654" s="36"/>
      <c r="O654" s="36"/>
    </row>
    <row r="655" spans="1:15" ht="18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40"/>
      <c r="L655" s="36"/>
      <c r="M655" s="36"/>
      <c r="N655" s="36"/>
      <c r="O655" s="36"/>
    </row>
    <row r="656" spans="1:15" ht="18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40"/>
      <c r="L656" s="36"/>
      <c r="M656" s="36"/>
      <c r="N656" s="36"/>
      <c r="O656" s="36"/>
    </row>
    <row r="657" spans="1:15" ht="18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40"/>
      <c r="L657" s="36"/>
      <c r="M657" s="36"/>
      <c r="N657" s="36"/>
      <c r="O657" s="36"/>
    </row>
    <row r="658" spans="1:15" ht="18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40"/>
      <c r="L658" s="36"/>
      <c r="M658" s="36"/>
      <c r="N658" s="36"/>
      <c r="O658" s="36"/>
    </row>
    <row r="659" spans="1:15" ht="18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40"/>
      <c r="L659" s="36"/>
      <c r="M659" s="36"/>
      <c r="N659" s="36"/>
      <c r="O659" s="36"/>
    </row>
    <row r="660" spans="1:15" ht="18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40"/>
      <c r="L660" s="36"/>
      <c r="M660" s="36"/>
      <c r="N660" s="36"/>
      <c r="O660" s="36"/>
    </row>
    <row r="661" spans="1:15" ht="18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40"/>
      <c r="L661" s="36"/>
      <c r="M661" s="36"/>
      <c r="N661" s="36"/>
      <c r="O661" s="36"/>
    </row>
    <row r="662" spans="1:15" ht="18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40"/>
      <c r="L662" s="36"/>
      <c r="M662" s="36"/>
      <c r="N662" s="36"/>
      <c r="O662" s="36"/>
    </row>
    <row r="663" spans="1:15" ht="18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40"/>
      <c r="L663" s="36"/>
      <c r="M663" s="36"/>
      <c r="N663" s="36"/>
      <c r="O663" s="36"/>
    </row>
    <row r="664" spans="1:15" ht="18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40"/>
      <c r="L664" s="36"/>
      <c r="M664" s="36"/>
      <c r="N664" s="36"/>
      <c r="O664" s="36"/>
    </row>
    <row r="665" spans="1:15" ht="18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40"/>
      <c r="L665" s="36"/>
      <c r="M665" s="36"/>
      <c r="N665" s="36"/>
      <c r="O665" s="36"/>
    </row>
    <row r="666" spans="1:15" ht="18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40"/>
      <c r="L666" s="36"/>
      <c r="M666" s="36"/>
      <c r="N666" s="36"/>
      <c r="O666" s="36"/>
    </row>
    <row r="667" spans="1:15" ht="18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40"/>
      <c r="L667" s="36"/>
      <c r="M667" s="36"/>
      <c r="N667" s="36"/>
      <c r="O667" s="36"/>
    </row>
    <row r="668" spans="1:15" ht="18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40"/>
      <c r="L668" s="36"/>
      <c r="M668" s="36"/>
      <c r="N668" s="36"/>
      <c r="O668" s="36"/>
    </row>
    <row r="669" spans="1:15" ht="18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40"/>
      <c r="L669" s="36"/>
      <c r="M669" s="36"/>
      <c r="N669" s="36"/>
      <c r="O669" s="36"/>
    </row>
    <row r="670" spans="1:15" ht="18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40"/>
      <c r="L670" s="36"/>
      <c r="M670" s="36"/>
      <c r="N670" s="36"/>
      <c r="O670" s="36"/>
    </row>
    <row r="671" spans="1:15" ht="18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40"/>
      <c r="L671" s="36"/>
      <c r="M671" s="36"/>
      <c r="N671" s="36"/>
      <c r="O671" s="36"/>
    </row>
    <row r="672" spans="1:15" ht="18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40"/>
      <c r="L672" s="36"/>
      <c r="M672" s="36"/>
      <c r="N672" s="36"/>
      <c r="O672" s="36"/>
    </row>
    <row r="673" spans="1:15" ht="18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40"/>
      <c r="L673" s="36"/>
      <c r="M673" s="36"/>
      <c r="N673" s="36"/>
      <c r="O673" s="36"/>
    </row>
    <row r="674" spans="1:15" ht="18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40"/>
      <c r="L674" s="36"/>
      <c r="M674" s="36"/>
      <c r="N674" s="36"/>
      <c r="O674" s="36"/>
    </row>
    <row r="675" spans="1:15" ht="18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40"/>
      <c r="L675" s="36"/>
      <c r="M675" s="36"/>
      <c r="N675" s="36"/>
      <c r="O675" s="36"/>
    </row>
    <row r="676" spans="1:15" ht="18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40"/>
      <c r="L676" s="36"/>
      <c r="M676" s="36"/>
      <c r="N676" s="36"/>
      <c r="O676" s="36"/>
    </row>
    <row r="677" spans="1:15" ht="18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40"/>
      <c r="L677" s="36"/>
      <c r="M677" s="36"/>
      <c r="N677" s="36"/>
      <c r="O677" s="36"/>
    </row>
    <row r="678" spans="1:15" ht="18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40"/>
      <c r="L678" s="36"/>
      <c r="M678" s="36"/>
      <c r="N678" s="36"/>
      <c r="O678" s="36"/>
    </row>
    <row r="679" spans="1:15" ht="18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40"/>
      <c r="L679" s="36"/>
      <c r="M679" s="36"/>
      <c r="N679" s="36"/>
      <c r="O679" s="36"/>
    </row>
    <row r="680" spans="1:15" ht="18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40"/>
      <c r="L680" s="36"/>
      <c r="M680" s="36"/>
      <c r="N680" s="36"/>
      <c r="O680" s="36"/>
    </row>
    <row r="681" spans="1:15" ht="18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40"/>
      <c r="L681" s="36"/>
      <c r="M681" s="36"/>
      <c r="N681" s="36"/>
      <c r="O681" s="36"/>
    </row>
    <row r="682" spans="1:15" ht="18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40"/>
      <c r="L682" s="36"/>
      <c r="M682" s="36"/>
      <c r="N682" s="36"/>
      <c r="O682" s="36"/>
    </row>
    <row r="683" spans="1:15" ht="18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40"/>
      <c r="L683" s="36"/>
      <c r="M683" s="36"/>
      <c r="N683" s="36"/>
      <c r="O683" s="36"/>
    </row>
    <row r="684" spans="1:15" ht="18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40"/>
      <c r="L684" s="36"/>
      <c r="M684" s="36"/>
      <c r="N684" s="36"/>
      <c r="O684" s="36"/>
    </row>
    <row r="685" spans="1:15" ht="18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40"/>
      <c r="L685" s="36"/>
      <c r="M685" s="36"/>
      <c r="N685" s="36"/>
      <c r="O685" s="36"/>
    </row>
    <row r="686" spans="1:15" ht="18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40"/>
      <c r="L686" s="36"/>
      <c r="M686" s="36"/>
      <c r="N686" s="36"/>
      <c r="O686" s="36"/>
    </row>
    <row r="687" spans="1:15" ht="18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40"/>
      <c r="L687" s="36"/>
      <c r="M687" s="36"/>
      <c r="N687" s="36"/>
      <c r="O687" s="36"/>
    </row>
    <row r="688" spans="1:15" ht="18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40"/>
      <c r="L688" s="36"/>
      <c r="M688" s="36"/>
      <c r="N688" s="36"/>
      <c r="O688" s="36"/>
    </row>
    <row r="689" spans="1:15" ht="18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40"/>
      <c r="L689" s="36"/>
      <c r="M689" s="36"/>
      <c r="N689" s="36"/>
      <c r="O689" s="36"/>
    </row>
    <row r="690" spans="1:15" ht="18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40"/>
      <c r="L690" s="36"/>
      <c r="M690" s="36"/>
      <c r="N690" s="36"/>
      <c r="O690" s="36"/>
    </row>
    <row r="691" spans="1:15" ht="18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40"/>
      <c r="L691" s="36"/>
      <c r="M691" s="36"/>
      <c r="N691" s="36"/>
      <c r="O691" s="36"/>
    </row>
    <row r="692" spans="1:15" ht="18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40"/>
      <c r="L692" s="36"/>
      <c r="M692" s="36"/>
      <c r="N692" s="36"/>
      <c r="O692" s="36"/>
    </row>
    <row r="693" spans="1:15" ht="18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40"/>
      <c r="L693" s="36"/>
      <c r="M693" s="36"/>
      <c r="N693" s="36"/>
      <c r="O693" s="36"/>
    </row>
    <row r="694" spans="1:15" ht="18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40"/>
      <c r="L694" s="36"/>
      <c r="M694" s="36"/>
      <c r="N694" s="36"/>
      <c r="O694" s="36"/>
    </row>
    <row r="695" spans="1:15" ht="18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40"/>
      <c r="L695" s="36"/>
      <c r="M695" s="36"/>
      <c r="N695" s="36"/>
      <c r="O695" s="36"/>
    </row>
    <row r="696" spans="1:15" ht="18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40"/>
      <c r="L696" s="36"/>
      <c r="M696" s="36"/>
      <c r="N696" s="36"/>
      <c r="O696" s="36"/>
    </row>
    <row r="697" spans="1:15" ht="18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40"/>
      <c r="L697" s="36"/>
      <c r="M697" s="36"/>
      <c r="N697" s="36"/>
      <c r="O697" s="36"/>
    </row>
    <row r="698" spans="1:15" ht="18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40"/>
      <c r="L698" s="36"/>
      <c r="M698" s="36"/>
      <c r="N698" s="36"/>
      <c r="O698" s="36"/>
    </row>
    <row r="699" spans="1:15" ht="18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40"/>
      <c r="L699" s="36"/>
      <c r="M699" s="36"/>
      <c r="N699" s="36"/>
      <c r="O699" s="36"/>
    </row>
    <row r="700" spans="1:15" ht="18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40"/>
      <c r="L700" s="36"/>
      <c r="M700" s="36"/>
      <c r="N700" s="36"/>
      <c r="O700" s="36"/>
    </row>
    <row r="701" spans="1:15" ht="18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40"/>
      <c r="L701" s="36"/>
      <c r="M701" s="36"/>
      <c r="N701" s="36"/>
      <c r="O701" s="36"/>
    </row>
    <row r="702" spans="1:15" ht="18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40"/>
      <c r="L702" s="36"/>
      <c r="M702" s="36"/>
      <c r="N702" s="36"/>
      <c r="O702" s="36"/>
    </row>
    <row r="703" spans="1:15" ht="18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40"/>
      <c r="L703" s="36"/>
      <c r="M703" s="36"/>
      <c r="N703" s="36"/>
      <c r="O703" s="36"/>
    </row>
    <row r="704" spans="1:15" ht="18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40"/>
      <c r="L704" s="36"/>
      <c r="M704" s="36"/>
      <c r="N704" s="36"/>
      <c r="O704" s="36"/>
    </row>
    <row r="705" spans="1:15" ht="18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40"/>
      <c r="L705" s="36"/>
      <c r="M705" s="36"/>
      <c r="N705" s="36"/>
      <c r="O705" s="36"/>
    </row>
    <row r="706" spans="1:15" ht="18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40"/>
      <c r="L706" s="36"/>
      <c r="M706" s="36"/>
      <c r="N706" s="36"/>
      <c r="O706" s="36"/>
    </row>
    <row r="707" spans="1:15" ht="18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40"/>
      <c r="L707" s="36"/>
      <c r="M707" s="36"/>
      <c r="N707" s="36"/>
      <c r="O707" s="36"/>
    </row>
    <row r="708" spans="1:15" ht="18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40"/>
      <c r="L708" s="36"/>
      <c r="M708" s="36"/>
      <c r="N708" s="36"/>
      <c r="O708" s="36"/>
    </row>
    <row r="709" spans="1:15" ht="18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40"/>
      <c r="L709" s="36"/>
      <c r="M709" s="36"/>
      <c r="N709" s="36"/>
      <c r="O709" s="36"/>
    </row>
    <row r="710" spans="1:15" ht="18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40"/>
      <c r="L710" s="36"/>
      <c r="M710" s="36"/>
      <c r="N710" s="36"/>
      <c r="O710" s="36"/>
    </row>
    <row r="711" spans="1:15" ht="18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40"/>
      <c r="L711" s="36"/>
      <c r="M711" s="36"/>
      <c r="N711" s="36"/>
      <c r="O711" s="36"/>
    </row>
    <row r="712" spans="1:15" ht="18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40"/>
      <c r="L712" s="36"/>
      <c r="M712" s="36"/>
      <c r="N712" s="36"/>
      <c r="O712" s="36"/>
    </row>
    <row r="713" spans="1:15" ht="18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40"/>
      <c r="L713" s="36"/>
      <c r="M713" s="36"/>
      <c r="N713" s="36"/>
      <c r="O713" s="36"/>
    </row>
    <row r="714" spans="1:15" ht="18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40"/>
      <c r="L714" s="36"/>
      <c r="M714" s="36"/>
      <c r="N714" s="36"/>
      <c r="O714" s="36"/>
    </row>
    <row r="715" spans="1:15" ht="18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40"/>
      <c r="L715" s="36"/>
      <c r="M715" s="36"/>
      <c r="N715" s="36"/>
      <c r="O715" s="36"/>
    </row>
    <row r="716" spans="1:15" ht="18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40"/>
      <c r="L716" s="36"/>
      <c r="M716" s="36"/>
      <c r="N716" s="36"/>
      <c r="O716" s="36"/>
    </row>
    <row r="717" spans="1:15" ht="18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40"/>
      <c r="L717" s="36"/>
      <c r="M717" s="36"/>
      <c r="N717" s="36"/>
      <c r="O717" s="36"/>
    </row>
    <row r="718" spans="1:15" ht="18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40"/>
      <c r="L718" s="36"/>
      <c r="M718" s="36"/>
      <c r="N718" s="36"/>
      <c r="O718" s="36"/>
    </row>
    <row r="719" spans="1:15" ht="18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40"/>
      <c r="L719" s="36"/>
      <c r="M719" s="36"/>
      <c r="N719" s="36"/>
      <c r="O719" s="36"/>
    </row>
    <row r="720" spans="1:15" ht="18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40"/>
      <c r="L720" s="36"/>
      <c r="M720" s="36"/>
      <c r="N720" s="36"/>
      <c r="O720" s="36"/>
    </row>
    <row r="721" spans="1:15" ht="18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40"/>
      <c r="L721" s="36"/>
      <c r="M721" s="36"/>
      <c r="N721" s="36"/>
      <c r="O721" s="36"/>
    </row>
    <row r="722" spans="1:15" ht="18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40"/>
      <c r="L722" s="36"/>
      <c r="M722" s="36"/>
      <c r="N722" s="36"/>
      <c r="O722" s="36"/>
    </row>
    <row r="723" spans="1:15" ht="18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40"/>
      <c r="L723" s="36"/>
      <c r="M723" s="36"/>
      <c r="N723" s="36"/>
      <c r="O723" s="36"/>
    </row>
    <row r="724" spans="1:15" ht="18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40"/>
      <c r="L724" s="36"/>
      <c r="M724" s="36"/>
      <c r="N724" s="36"/>
      <c r="O724" s="36"/>
    </row>
    <row r="725" spans="1:15" ht="18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40"/>
      <c r="L725" s="36"/>
      <c r="M725" s="36"/>
      <c r="N725" s="36"/>
      <c r="O725" s="36"/>
    </row>
    <row r="726" spans="1:15" ht="18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40"/>
      <c r="L726" s="36"/>
      <c r="M726" s="36"/>
      <c r="N726" s="36"/>
      <c r="O726" s="36"/>
    </row>
    <row r="727" spans="1:15" ht="18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40"/>
      <c r="L727" s="36"/>
      <c r="M727" s="36"/>
      <c r="N727" s="36"/>
      <c r="O727" s="36"/>
    </row>
    <row r="728" spans="1:15" ht="18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40"/>
      <c r="L728" s="36"/>
      <c r="M728" s="36"/>
      <c r="N728" s="36"/>
      <c r="O728" s="36"/>
    </row>
    <row r="729" spans="1:15" ht="18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40"/>
      <c r="L729" s="36"/>
      <c r="M729" s="36"/>
      <c r="N729" s="36"/>
      <c r="O729" s="36"/>
    </row>
    <row r="730" spans="1:15" ht="18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40"/>
      <c r="L730" s="36"/>
      <c r="M730" s="36"/>
      <c r="N730" s="36"/>
      <c r="O730" s="36"/>
    </row>
    <row r="731" spans="1:15" ht="18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40"/>
      <c r="L731" s="36"/>
      <c r="M731" s="36"/>
      <c r="N731" s="36"/>
      <c r="O731" s="36"/>
    </row>
    <row r="732" spans="1:15" ht="18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40"/>
      <c r="L732" s="36"/>
      <c r="M732" s="36"/>
      <c r="N732" s="36"/>
      <c r="O732" s="36"/>
    </row>
    <row r="733" spans="1:15" ht="18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40"/>
      <c r="L733" s="36"/>
      <c r="M733" s="36"/>
      <c r="N733" s="36"/>
      <c r="O733" s="36"/>
    </row>
    <row r="734" spans="1:15" ht="18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40"/>
      <c r="L734" s="36"/>
      <c r="M734" s="36"/>
      <c r="N734" s="36"/>
      <c r="O734" s="36"/>
    </row>
    <row r="735" spans="1:15" ht="18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40"/>
      <c r="L735" s="36"/>
      <c r="M735" s="36"/>
      <c r="N735" s="36"/>
      <c r="O735" s="36"/>
    </row>
    <row r="736" spans="1:15" ht="18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40"/>
      <c r="L736" s="36"/>
      <c r="M736" s="36"/>
      <c r="N736" s="36"/>
      <c r="O736" s="36"/>
    </row>
    <row r="737" spans="1:15" ht="18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40"/>
      <c r="L737" s="36"/>
      <c r="M737" s="36"/>
      <c r="N737" s="36"/>
      <c r="O737" s="36"/>
    </row>
    <row r="738" spans="1:15" ht="18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40"/>
      <c r="L738" s="36"/>
      <c r="M738" s="36"/>
      <c r="N738" s="36"/>
      <c r="O738" s="36"/>
    </row>
    <row r="739" spans="1:15" ht="18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40"/>
      <c r="L739" s="36"/>
      <c r="M739" s="36"/>
      <c r="N739" s="36"/>
      <c r="O739" s="36"/>
    </row>
    <row r="740" spans="1:15" ht="18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40"/>
      <c r="L740" s="36"/>
      <c r="M740" s="36"/>
      <c r="N740" s="36"/>
      <c r="O740" s="36"/>
    </row>
    <row r="741" spans="1:15" ht="18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40"/>
      <c r="L741" s="36"/>
      <c r="M741" s="36"/>
      <c r="N741" s="36"/>
      <c r="O741" s="36"/>
    </row>
    <row r="742" spans="1:15" ht="18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40"/>
      <c r="L742" s="36"/>
      <c r="M742" s="36"/>
      <c r="N742" s="36"/>
      <c r="O742" s="36"/>
    </row>
    <row r="743" spans="1:15" ht="18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40"/>
      <c r="L743" s="36"/>
      <c r="M743" s="36"/>
      <c r="N743" s="36"/>
      <c r="O743" s="36"/>
    </row>
    <row r="744" spans="1:15" ht="18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40"/>
      <c r="L744" s="36"/>
      <c r="M744" s="36"/>
      <c r="N744" s="36"/>
      <c r="O744" s="36"/>
    </row>
    <row r="745" spans="1:15" ht="18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40"/>
      <c r="L745" s="36"/>
      <c r="M745" s="36"/>
      <c r="N745" s="36"/>
      <c r="O745" s="36"/>
    </row>
    <row r="746" spans="1:15" ht="18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40"/>
      <c r="L746" s="36"/>
      <c r="M746" s="36"/>
      <c r="N746" s="36"/>
      <c r="O746" s="36"/>
    </row>
    <row r="747" spans="1:15" ht="18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40"/>
      <c r="L747" s="36"/>
      <c r="M747" s="36"/>
      <c r="N747" s="36"/>
      <c r="O747" s="36"/>
    </row>
    <row r="748" spans="1:15" ht="18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40"/>
      <c r="L748" s="36"/>
      <c r="M748" s="36"/>
      <c r="N748" s="36"/>
      <c r="O748" s="36"/>
    </row>
    <row r="749" spans="1:15" ht="18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40"/>
      <c r="L749" s="36"/>
      <c r="M749" s="36"/>
      <c r="N749" s="36"/>
      <c r="O749" s="36"/>
    </row>
    <row r="750" spans="1:15" ht="18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40"/>
      <c r="L750" s="36"/>
      <c r="M750" s="36"/>
      <c r="N750" s="36"/>
      <c r="O750" s="36"/>
    </row>
    <row r="751" spans="1:15" ht="18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40"/>
      <c r="L751" s="36"/>
      <c r="M751" s="36"/>
      <c r="N751" s="36"/>
      <c r="O751" s="36"/>
    </row>
    <row r="752" spans="1:15" ht="18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40"/>
      <c r="L752" s="36"/>
      <c r="M752" s="36"/>
      <c r="N752" s="36"/>
      <c r="O752" s="36"/>
    </row>
    <row r="753" spans="1:15" ht="18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40"/>
      <c r="L753" s="36"/>
      <c r="M753" s="36"/>
      <c r="N753" s="36"/>
      <c r="O753" s="36"/>
    </row>
    <row r="754" spans="1:15" ht="18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40"/>
      <c r="L754" s="36"/>
      <c r="M754" s="36"/>
      <c r="N754" s="36"/>
      <c r="O754" s="36"/>
    </row>
    <row r="755" spans="1:15" ht="18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40"/>
      <c r="L755" s="36"/>
      <c r="M755" s="36"/>
      <c r="N755" s="36"/>
      <c r="O755" s="36"/>
    </row>
    <row r="756" spans="1:15" ht="18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40"/>
      <c r="L756" s="36"/>
      <c r="M756" s="36"/>
      <c r="N756" s="36"/>
      <c r="O756" s="36"/>
    </row>
    <row r="757" spans="1:15" ht="18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40"/>
      <c r="L757" s="36"/>
      <c r="M757" s="36"/>
      <c r="N757" s="36"/>
      <c r="O757" s="36"/>
    </row>
    <row r="758" spans="1:15" ht="18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40"/>
      <c r="L758" s="36"/>
      <c r="M758" s="36"/>
      <c r="N758" s="36"/>
      <c r="O758" s="36"/>
    </row>
    <row r="759" spans="1:15" ht="18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40"/>
      <c r="L759" s="36"/>
      <c r="M759" s="36"/>
      <c r="N759" s="36"/>
      <c r="O759" s="36"/>
    </row>
    <row r="760" spans="1:15" ht="18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40"/>
      <c r="L760" s="36"/>
      <c r="M760" s="36"/>
      <c r="N760" s="36"/>
      <c r="O760" s="36"/>
    </row>
    <row r="761" spans="1:15" ht="18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40"/>
      <c r="L761" s="36"/>
      <c r="M761" s="36"/>
      <c r="N761" s="36"/>
      <c r="O761" s="36"/>
    </row>
    <row r="762" spans="1:15" ht="18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40"/>
      <c r="L762" s="36"/>
      <c r="M762" s="36"/>
      <c r="N762" s="36"/>
      <c r="O762" s="36"/>
    </row>
    <row r="763" spans="1:15" ht="18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40"/>
      <c r="L763" s="36"/>
      <c r="M763" s="36"/>
      <c r="N763" s="36"/>
      <c r="O763" s="36"/>
    </row>
    <row r="764" spans="1:15" ht="18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40"/>
      <c r="L764" s="36"/>
      <c r="M764" s="36"/>
      <c r="N764" s="36"/>
      <c r="O764" s="36"/>
    </row>
    <row r="765" spans="1:15" ht="18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40"/>
      <c r="L765" s="36"/>
      <c r="M765" s="36"/>
      <c r="N765" s="36"/>
      <c r="O765" s="36"/>
    </row>
    <row r="766" spans="1:15" ht="18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40"/>
      <c r="L766" s="36"/>
      <c r="M766" s="36"/>
      <c r="N766" s="36"/>
      <c r="O766" s="36"/>
    </row>
    <row r="767" spans="1:15" ht="18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40"/>
      <c r="L767" s="36"/>
      <c r="M767" s="36"/>
      <c r="N767" s="36"/>
      <c r="O767" s="36"/>
    </row>
    <row r="768" spans="1:15" ht="18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40"/>
      <c r="L768" s="36"/>
      <c r="M768" s="36"/>
      <c r="N768" s="36"/>
      <c r="O768" s="36"/>
    </row>
    <row r="769" spans="1:15" ht="18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40"/>
      <c r="L769" s="36"/>
      <c r="M769" s="36"/>
      <c r="N769" s="36"/>
      <c r="O769" s="36"/>
    </row>
    <row r="770" spans="1:15" ht="18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40"/>
      <c r="L770" s="36"/>
      <c r="M770" s="36"/>
      <c r="N770" s="36"/>
      <c r="O770" s="36"/>
    </row>
    <row r="771" spans="1:15" ht="18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40"/>
      <c r="L771" s="36"/>
      <c r="M771" s="36"/>
      <c r="N771" s="36"/>
      <c r="O771" s="36"/>
    </row>
    <row r="772" spans="1:15" ht="18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40"/>
      <c r="L772" s="36"/>
      <c r="M772" s="36"/>
      <c r="N772" s="36"/>
      <c r="O772" s="36"/>
    </row>
    <row r="773" spans="1:15" ht="18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40"/>
      <c r="L773" s="36"/>
      <c r="M773" s="36"/>
      <c r="N773" s="36"/>
      <c r="O773" s="36"/>
    </row>
    <row r="774" spans="1:15" ht="18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40"/>
      <c r="L774" s="36"/>
      <c r="M774" s="36"/>
      <c r="N774" s="36"/>
      <c r="O774" s="36"/>
    </row>
    <row r="775" spans="1:15" ht="18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40"/>
      <c r="L775" s="36"/>
      <c r="M775" s="36"/>
      <c r="N775" s="36"/>
      <c r="O775" s="36"/>
    </row>
    <row r="776" spans="1:15" ht="18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40"/>
      <c r="L776" s="36"/>
      <c r="M776" s="36"/>
      <c r="N776" s="36"/>
      <c r="O776" s="36"/>
    </row>
    <row r="777" spans="1:15" ht="18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40"/>
      <c r="L777" s="36"/>
      <c r="M777" s="36"/>
      <c r="N777" s="36"/>
      <c r="O777" s="36"/>
    </row>
    <row r="778" spans="1:15" ht="18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40"/>
      <c r="L778" s="36"/>
      <c r="M778" s="36"/>
      <c r="N778" s="36"/>
      <c r="O778" s="36"/>
    </row>
    <row r="779" spans="1:15" ht="18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40"/>
      <c r="L779" s="36"/>
      <c r="M779" s="36"/>
      <c r="N779" s="36"/>
      <c r="O779" s="36"/>
    </row>
    <row r="780" spans="1:15" ht="18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40"/>
      <c r="L780" s="36"/>
      <c r="M780" s="36"/>
      <c r="N780" s="36"/>
      <c r="O780" s="36"/>
    </row>
    <row r="781" spans="1:15" ht="18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40"/>
      <c r="L781" s="36"/>
      <c r="M781" s="36"/>
      <c r="N781" s="36"/>
      <c r="O781" s="36"/>
    </row>
    <row r="782" spans="1:15" ht="18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40"/>
      <c r="L782" s="36"/>
      <c r="M782" s="36"/>
      <c r="N782" s="36"/>
      <c r="O782" s="36"/>
    </row>
    <row r="783" spans="1:15" ht="18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40"/>
      <c r="L783" s="36"/>
      <c r="M783" s="36"/>
      <c r="N783" s="36"/>
      <c r="O783" s="36"/>
    </row>
    <row r="784" spans="1:15" ht="18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40"/>
      <c r="L784" s="36"/>
      <c r="M784" s="36"/>
      <c r="N784" s="36"/>
      <c r="O784" s="36"/>
    </row>
    <row r="785" spans="1:15" ht="18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40"/>
      <c r="L785" s="36"/>
      <c r="M785" s="36"/>
      <c r="N785" s="36"/>
      <c r="O785" s="36"/>
    </row>
    <row r="786" spans="1:15" ht="18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40"/>
      <c r="L786" s="36"/>
      <c r="M786" s="36"/>
      <c r="N786" s="36"/>
      <c r="O786" s="36"/>
    </row>
    <row r="787" spans="1:15" ht="18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40"/>
      <c r="L787" s="36"/>
      <c r="M787" s="36"/>
      <c r="N787" s="36"/>
      <c r="O787" s="36"/>
    </row>
    <row r="788" spans="1:15" ht="18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40"/>
      <c r="L788" s="36"/>
      <c r="M788" s="36"/>
      <c r="N788" s="36"/>
      <c r="O788" s="36"/>
    </row>
    <row r="789" spans="1:15" ht="18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40"/>
      <c r="L789" s="36"/>
      <c r="M789" s="36"/>
      <c r="N789" s="36"/>
      <c r="O789" s="36"/>
    </row>
    <row r="790" spans="1:15" ht="18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40"/>
      <c r="L790" s="36"/>
      <c r="M790" s="36"/>
      <c r="N790" s="36"/>
      <c r="O790" s="36"/>
    </row>
    <row r="791" spans="1:15" ht="18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40"/>
      <c r="L791" s="36"/>
      <c r="M791" s="36"/>
      <c r="N791" s="36"/>
      <c r="O791" s="36"/>
    </row>
    <row r="792" spans="1:15" ht="18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40"/>
      <c r="L792" s="36"/>
      <c r="M792" s="36"/>
      <c r="N792" s="36"/>
      <c r="O792" s="36"/>
    </row>
    <row r="793" spans="1:15" ht="18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40"/>
      <c r="L793" s="36"/>
      <c r="M793" s="36"/>
      <c r="N793" s="36"/>
      <c r="O793" s="36"/>
    </row>
    <row r="794" spans="1:15" ht="18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40"/>
      <c r="L794" s="36"/>
      <c r="M794" s="36"/>
      <c r="N794" s="36"/>
      <c r="O794" s="36"/>
    </row>
    <row r="795" spans="1:15" ht="18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40"/>
      <c r="L795" s="36"/>
      <c r="M795" s="36"/>
      <c r="N795" s="36"/>
      <c r="O795" s="36"/>
    </row>
    <row r="796" spans="1:15" ht="18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40"/>
      <c r="L796" s="36"/>
      <c r="M796" s="36"/>
      <c r="N796" s="36"/>
      <c r="O796" s="36"/>
    </row>
    <row r="797" spans="1:15" ht="18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40"/>
      <c r="L797" s="36"/>
      <c r="M797" s="36"/>
      <c r="N797" s="36"/>
      <c r="O797" s="36"/>
    </row>
    <row r="798" spans="1:15" ht="18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40"/>
      <c r="L798" s="36"/>
      <c r="M798" s="36"/>
      <c r="N798" s="36"/>
      <c r="O798" s="36"/>
    </row>
    <row r="799" spans="1:15" ht="18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40"/>
      <c r="L799" s="36"/>
      <c r="M799" s="36"/>
      <c r="N799" s="36"/>
      <c r="O799" s="36"/>
    </row>
    <row r="800" spans="1:15" ht="18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40"/>
      <c r="L800" s="36"/>
      <c r="M800" s="36"/>
      <c r="N800" s="36"/>
      <c r="O800" s="36"/>
    </row>
    <row r="801" spans="1:15" ht="18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40"/>
      <c r="L801" s="36"/>
      <c r="M801" s="36"/>
      <c r="N801" s="36"/>
      <c r="O801" s="36"/>
    </row>
    <row r="802" spans="1:15" ht="18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40"/>
      <c r="L802" s="36"/>
      <c r="M802" s="36"/>
      <c r="N802" s="36"/>
      <c r="O802" s="36"/>
    </row>
    <row r="803" spans="1:15" ht="18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40"/>
      <c r="L803" s="36"/>
      <c r="M803" s="36"/>
      <c r="N803" s="36"/>
      <c r="O803" s="36"/>
    </row>
    <row r="804" spans="1:15" ht="18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40"/>
      <c r="L804" s="36"/>
      <c r="M804" s="36"/>
      <c r="N804" s="36"/>
      <c r="O804" s="36"/>
    </row>
    <row r="805" spans="1:15" ht="18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40"/>
      <c r="L805" s="36"/>
      <c r="M805" s="36"/>
      <c r="N805" s="36"/>
      <c r="O805" s="36"/>
    </row>
    <row r="806" spans="1:15" ht="18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40"/>
      <c r="L806" s="36"/>
      <c r="M806" s="36"/>
      <c r="N806" s="36"/>
      <c r="O806" s="36"/>
    </row>
    <row r="807" spans="1:15" ht="18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40"/>
      <c r="L807" s="36"/>
      <c r="M807" s="36"/>
      <c r="N807" s="36"/>
      <c r="O807" s="36"/>
    </row>
    <row r="808" spans="1:15" ht="18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40"/>
      <c r="L808" s="36"/>
      <c r="M808" s="36"/>
      <c r="N808" s="36"/>
      <c r="O808" s="36"/>
    </row>
    <row r="809" spans="1:15" ht="18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40"/>
      <c r="L809" s="36"/>
      <c r="M809" s="36"/>
      <c r="N809" s="36"/>
      <c r="O809" s="36"/>
    </row>
    <row r="810" spans="1:15" ht="18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40"/>
      <c r="L810" s="36"/>
      <c r="M810" s="36"/>
      <c r="N810" s="36"/>
      <c r="O810" s="36"/>
    </row>
    <row r="811" spans="1:15" ht="18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40"/>
      <c r="L811" s="36"/>
      <c r="M811" s="36"/>
      <c r="N811" s="36"/>
      <c r="O811" s="36"/>
    </row>
    <row r="812" spans="1:15" ht="18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40"/>
      <c r="L812" s="36"/>
      <c r="M812" s="36"/>
      <c r="N812" s="36"/>
      <c r="O812" s="36"/>
    </row>
    <row r="813" spans="1:15" ht="18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40"/>
      <c r="L813" s="36"/>
      <c r="M813" s="36"/>
      <c r="N813" s="36"/>
      <c r="O813" s="36"/>
    </row>
    <row r="814" spans="1:15" ht="18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40"/>
      <c r="L814" s="36"/>
      <c r="M814" s="36"/>
      <c r="N814" s="36"/>
      <c r="O814" s="36"/>
    </row>
    <row r="815" spans="1:15" ht="18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40"/>
      <c r="L815" s="36"/>
      <c r="M815" s="36"/>
      <c r="N815" s="36"/>
      <c r="O815" s="36"/>
    </row>
    <row r="816" spans="1:15" ht="18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40"/>
      <c r="L816" s="36"/>
      <c r="M816" s="36"/>
      <c r="N816" s="36"/>
      <c r="O816" s="36"/>
    </row>
    <row r="817" spans="1:15" ht="18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40"/>
      <c r="L817" s="36"/>
      <c r="M817" s="36"/>
      <c r="N817" s="36"/>
      <c r="O817" s="36"/>
    </row>
    <row r="818" spans="1:15" ht="18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40"/>
      <c r="L818" s="36"/>
      <c r="M818" s="36"/>
      <c r="N818" s="36"/>
      <c r="O818" s="36"/>
    </row>
    <row r="819" spans="1:15" ht="18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40"/>
      <c r="L819" s="36"/>
      <c r="M819" s="36"/>
      <c r="N819" s="36"/>
      <c r="O819" s="36"/>
    </row>
    <row r="820" spans="1:15" ht="18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40"/>
      <c r="L820" s="36"/>
      <c r="M820" s="36"/>
      <c r="N820" s="36"/>
      <c r="O820" s="36"/>
    </row>
    <row r="821" spans="1:15" ht="18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40"/>
      <c r="L821" s="36"/>
      <c r="M821" s="36"/>
      <c r="N821" s="36"/>
      <c r="O821" s="36"/>
    </row>
    <row r="822" spans="1:15" ht="18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40"/>
      <c r="L822" s="36"/>
      <c r="M822" s="36"/>
      <c r="N822" s="36"/>
      <c r="O822" s="36"/>
    </row>
    <row r="823" spans="1:15" ht="18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40"/>
      <c r="L823" s="36"/>
      <c r="M823" s="36"/>
      <c r="N823" s="36"/>
      <c r="O823" s="36"/>
    </row>
    <row r="824" spans="1:15" ht="18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40"/>
      <c r="L824" s="36"/>
      <c r="M824" s="36"/>
      <c r="N824" s="36"/>
      <c r="O824" s="36"/>
    </row>
    <row r="825" spans="1:15" ht="18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40"/>
      <c r="L825" s="36"/>
      <c r="M825" s="36"/>
      <c r="N825" s="36"/>
      <c r="O825" s="36"/>
    </row>
    <row r="826" spans="1:15" ht="18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40"/>
      <c r="L826" s="36"/>
      <c r="M826" s="36"/>
      <c r="N826" s="36"/>
      <c r="O826" s="36"/>
    </row>
    <row r="827" spans="1:15" ht="18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40"/>
      <c r="L827" s="36"/>
      <c r="M827" s="36"/>
      <c r="N827" s="36"/>
      <c r="O827" s="36"/>
    </row>
    <row r="828" spans="1:15" ht="18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40"/>
      <c r="L828" s="36"/>
      <c r="M828" s="36"/>
      <c r="N828" s="36"/>
      <c r="O828" s="36"/>
    </row>
    <row r="829" spans="1:15" ht="18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40"/>
      <c r="L829" s="36"/>
      <c r="M829" s="36"/>
      <c r="N829" s="36"/>
      <c r="O829" s="36"/>
    </row>
    <row r="830" spans="1:15" ht="18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40"/>
      <c r="L830" s="36"/>
      <c r="M830" s="36"/>
      <c r="N830" s="36"/>
      <c r="O830" s="36"/>
    </row>
    <row r="831" spans="1:15" ht="18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40"/>
      <c r="L831" s="36"/>
      <c r="M831" s="36"/>
      <c r="N831" s="36"/>
      <c r="O831" s="36"/>
    </row>
    <row r="832" spans="1:15" ht="18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40"/>
      <c r="L832" s="36"/>
      <c r="M832" s="36"/>
      <c r="N832" s="36"/>
      <c r="O832" s="36"/>
    </row>
    <row r="833" spans="1:15" ht="18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40"/>
      <c r="L833" s="36"/>
      <c r="M833" s="36"/>
      <c r="N833" s="36"/>
      <c r="O833" s="36"/>
    </row>
    <row r="834" spans="1:15" ht="18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40"/>
      <c r="L834" s="36"/>
      <c r="M834" s="36"/>
      <c r="N834" s="36"/>
      <c r="O834" s="36"/>
    </row>
    <row r="835" spans="1:15" ht="18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40"/>
      <c r="L835" s="36"/>
      <c r="M835" s="36"/>
      <c r="N835" s="36"/>
      <c r="O835" s="36"/>
    </row>
    <row r="836" spans="1:15" ht="18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40"/>
      <c r="L836" s="36"/>
      <c r="M836" s="36"/>
      <c r="N836" s="36"/>
      <c r="O836" s="36"/>
    </row>
    <row r="837" spans="1:15" ht="18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40"/>
      <c r="L837" s="36"/>
      <c r="M837" s="36"/>
      <c r="N837" s="36"/>
      <c r="O837" s="36"/>
    </row>
    <row r="838" spans="1:15" ht="18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40"/>
      <c r="L838" s="36"/>
      <c r="M838" s="36"/>
      <c r="N838" s="36"/>
      <c r="O838" s="36"/>
    </row>
    <row r="839" spans="1:15" ht="18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40"/>
      <c r="L839" s="36"/>
      <c r="M839" s="36"/>
      <c r="N839" s="36"/>
      <c r="O839" s="36"/>
    </row>
    <row r="840" spans="1:15" ht="18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40"/>
      <c r="L840" s="36"/>
      <c r="M840" s="36"/>
      <c r="N840" s="36"/>
      <c r="O840" s="36"/>
    </row>
    <row r="841" spans="1:15" ht="18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40"/>
      <c r="L841" s="36"/>
      <c r="M841" s="36"/>
      <c r="N841" s="36"/>
      <c r="O841" s="36"/>
    </row>
    <row r="842" spans="1:15" ht="18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40"/>
      <c r="L842" s="36"/>
      <c r="M842" s="36"/>
      <c r="N842" s="36"/>
      <c r="O842" s="36"/>
    </row>
    <row r="843" spans="1:15" ht="18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40"/>
      <c r="L843" s="36"/>
      <c r="M843" s="36"/>
      <c r="N843" s="36"/>
      <c r="O843" s="36"/>
    </row>
    <row r="844" spans="1:15" ht="18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40"/>
      <c r="L844" s="36"/>
      <c r="M844" s="36"/>
      <c r="N844" s="36"/>
      <c r="O844" s="36"/>
    </row>
    <row r="845" spans="1:15" ht="18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40"/>
      <c r="L845" s="36"/>
      <c r="M845" s="36"/>
      <c r="N845" s="36"/>
      <c r="O845" s="36"/>
    </row>
    <row r="846" spans="1:15" ht="18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40"/>
      <c r="L846" s="36"/>
      <c r="M846" s="36"/>
      <c r="N846" s="36"/>
      <c r="O846" s="36"/>
    </row>
    <row r="847" spans="1:15" ht="18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40"/>
      <c r="L847" s="36"/>
      <c r="M847" s="36"/>
      <c r="N847" s="36"/>
      <c r="O847" s="36"/>
    </row>
    <row r="848" spans="1:15" ht="18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40"/>
      <c r="L848" s="36"/>
      <c r="M848" s="36"/>
      <c r="N848" s="36"/>
      <c r="O848" s="36"/>
    </row>
    <row r="849" spans="1:15" ht="18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40"/>
      <c r="L849" s="36"/>
      <c r="M849" s="36"/>
      <c r="N849" s="36"/>
      <c r="O849" s="36"/>
    </row>
    <row r="850" spans="1:15" ht="18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40"/>
      <c r="L850" s="36"/>
      <c r="M850" s="36"/>
      <c r="N850" s="36"/>
      <c r="O850" s="36"/>
    </row>
    <row r="851" spans="1:15" ht="18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40"/>
      <c r="L851" s="36"/>
      <c r="M851" s="36"/>
      <c r="N851" s="36"/>
      <c r="O851" s="36"/>
    </row>
    <row r="852" spans="1:15" ht="18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40"/>
      <c r="L852" s="36"/>
      <c r="M852" s="36"/>
      <c r="N852" s="36"/>
      <c r="O852" s="36"/>
    </row>
    <row r="853" spans="1:15" ht="18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40"/>
      <c r="L853" s="36"/>
      <c r="M853" s="36"/>
      <c r="N853" s="36"/>
      <c r="O853" s="36"/>
    </row>
    <row r="854" spans="1:15" ht="18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40"/>
      <c r="L854" s="36"/>
      <c r="M854" s="36"/>
      <c r="N854" s="36"/>
      <c r="O854" s="36"/>
    </row>
    <row r="855" spans="1:15" ht="18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40"/>
      <c r="L855" s="36"/>
      <c r="M855" s="36"/>
      <c r="N855" s="36"/>
      <c r="O855" s="36"/>
    </row>
    <row r="856" spans="1:15" ht="18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40"/>
      <c r="L856" s="36"/>
      <c r="M856" s="36"/>
      <c r="N856" s="36"/>
      <c r="O856" s="36"/>
    </row>
    <row r="857" spans="1:15" ht="18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40"/>
      <c r="L857" s="36"/>
      <c r="M857" s="36"/>
      <c r="N857" s="36"/>
      <c r="O857" s="36"/>
    </row>
    <row r="858" spans="1:15" ht="18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40"/>
      <c r="L858" s="36"/>
      <c r="M858" s="36"/>
      <c r="N858" s="36"/>
      <c r="O858" s="36"/>
    </row>
    <row r="859" spans="1:15" ht="18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40"/>
      <c r="L859" s="36"/>
      <c r="M859" s="36"/>
      <c r="N859" s="36"/>
      <c r="O859" s="36"/>
    </row>
    <row r="860" spans="1:15" ht="18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40"/>
      <c r="L860" s="36"/>
      <c r="M860" s="36"/>
      <c r="N860" s="36"/>
      <c r="O860" s="36"/>
    </row>
    <row r="861" spans="1:15" ht="18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40"/>
      <c r="L861" s="36"/>
      <c r="M861" s="36"/>
      <c r="N861" s="36"/>
      <c r="O861" s="36"/>
    </row>
    <row r="862" spans="1:15" ht="18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40"/>
      <c r="L862" s="36"/>
      <c r="M862" s="36"/>
      <c r="N862" s="36"/>
      <c r="O862" s="36"/>
    </row>
    <row r="863" spans="1:15" ht="18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40"/>
      <c r="L863" s="36"/>
      <c r="M863" s="36"/>
      <c r="N863" s="36"/>
      <c r="O863" s="36"/>
    </row>
    <row r="864" spans="1:15" ht="18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40"/>
      <c r="L864" s="36"/>
      <c r="M864" s="36"/>
      <c r="N864" s="36"/>
      <c r="O864" s="36"/>
    </row>
    <row r="865" spans="1:15" ht="18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40"/>
      <c r="L865" s="36"/>
      <c r="M865" s="36"/>
      <c r="N865" s="36"/>
      <c r="O865" s="36"/>
    </row>
    <row r="866" spans="1:15" ht="18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40"/>
      <c r="L866" s="36"/>
      <c r="M866" s="36"/>
      <c r="N866" s="36"/>
      <c r="O866" s="36"/>
    </row>
    <row r="867" spans="1:15" ht="18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40"/>
      <c r="L867" s="36"/>
      <c r="M867" s="36"/>
      <c r="N867" s="36"/>
      <c r="O867" s="36"/>
    </row>
    <row r="868" spans="1:15" ht="18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40"/>
      <c r="L868" s="36"/>
      <c r="M868" s="36"/>
      <c r="N868" s="36"/>
      <c r="O868" s="36"/>
    </row>
    <row r="869" spans="1:15" ht="18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40"/>
      <c r="L869" s="36"/>
      <c r="M869" s="36"/>
      <c r="N869" s="36"/>
      <c r="O869" s="36"/>
    </row>
    <row r="870" spans="1:15" ht="18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40"/>
      <c r="L870" s="36"/>
      <c r="M870" s="36"/>
      <c r="N870" s="36"/>
      <c r="O870" s="36"/>
    </row>
    <row r="871" spans="1:15" ht="18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40"/>
      <c r="L871" s="36"/>
      <c r="M871" s="36"/>
      <c r="N871" s="36"/>
      <c r="O871" s="36"/>
    </row>
    <row r="872" spans="1:15" ht="18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40"/>
      <c r="L872" s="36"/>
      <c r="M872" s="36"/>
      <c r="N872" s="36"/>
      <c r="O872" s="36"/>
    </row>
    <row r="873" spans="1:15" ht="18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40"/>
      <c r="L873" s="36"/>
      <c r="M873" s="36"/>
      <c r="N873" s="36"/>
      <c r="O873" s="36"/>
    </row>
    <row r="874" spans="1:15" ht="18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40"/>
      <c r="L874" s="36"/>
      <c r="M874" s="36"/>
      <c r="N874" s="36"/>
      <c r="O874" s="36"/>
    </row>
    <row r="875" spans="1:15" ht="18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40"/>
      <c r="L875" s="36"/>
      <c r="M875" s="36"/>
      <c r="N875" s="36"/>
      <c r="O875" s="36"/>
    </row>
    <row r="876" spans="1:15" ht="18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40"/>
      <c r="L876" s="36"/>
      <c r="M876" s="36"/>
      <c r="N876" s="36"/>
      <c r="O876" s="36"/>
    </row>
    <row r="877" spans="1:15" ht="18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40"/>
      <c r="L877" s="36"/>
      <c r="M877" s="36"/>
      <c r="N877" s="36"/>
      <c r="O877" s="36"/>
    </row>
    <row r="878" spans="1:15" ht="18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40"/>
      <c r="L878" s="36"/>
      <c r="M878" s="36"/>
      <c r="N878" s="36"/>
      <c r="O878" s="36"/>
    </row>
    <row r="879" spans="1:15" ht="18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40"/>
      <c r="L879" s="36"/>
      <c r="M879" s="36"/>
      <c r="N879" s="36"/>
      <c r="O879" s="36"/>
    </row>
    <row r="880" spans="1:15" ht="18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40"/>
      <c r="L880" s="36"/>
      <c r="M880" s="36"/>
      <c r="N880" s="36"/>
      <c r="O880" s="36"/>
    </row>
    <row r="881" spans="1:15" ht="18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40"/>
      <c r="L881" s="36"/>
      <c r="M881" s="36"/>
      <c r="N881" s="36"/>
      <c r="O881" s="36"/>
    </row>
    <row r="882" spans="1:15" ht="18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40"/>
      <c r="L882" s="36"/>
      <c r="M882" s="36"/>
      <c r="N882" s="36"/>
      <c r="O882" s="36"/>
    </row>
    <row r="883" spans="1:15" ht="18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40"/>
      <c r="L883" s="36"/>
      <c r="M883" s="36"/>
      <c r="N883" s="36"/>
      <c r="O883" s="36"/>
    </row>
    <row r="884" spans="1:15" ht="18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40"/>
      <c r="L884" s="36"/>
      <c r="M884" s="36"/>
      <c r="N884" s="36"/>
      <c r="O884" s="36"/>
    </row>
    <row r="885" spans="1:15" ht="18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40"/>
      <c r="L885" s="36"/>
      <c r="M885" s="36"/>
      <c r="N885" s="36"/>
      <c r="O885" s="36"/>
    </row>
    <row r="886" spans="1:15" ht="18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40"/>
      <c r="L886" s="36"/>
      <c r="M886" s="36"/>
      <c r="N886" s="36"/>
      <c r="O886" s="36"/>
    </row>
    <row r="887" spans="1:15" ht="18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40"/>
      <c r="L887" s="36"/>
      <c r="M887" s="36"/>
      <c r="N887" s="36"/>
      <c r="O887" s="36"/>
    </row>
    <row r="888" spans="1:15" ht="18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40"/>
      <c r="L888" s="36"/>
      <c r="M888" s="36"/>
      <c r="N888" s="36"/>
      <c r="O888" s="36"/>
    </row>
    <row r="889" spans="1:15" ht="18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40"/>
      <c r="L889" s="36"/>
      <c r="M889" s="36"/>
      <c r="N889" s="36"/>
      <c r="O889" s="36"/>
    </row>
    <row r="890" spans="1:15" ht="18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40"/>
      <c r="L890" s="36"/>
      <c r="M890" s="36"/>
      <c r="N890" s="36"/>
      <c r="O890" s="36"/>
    </row>
    <row r="891" spans="1:15" ht="18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40"/>
      <c r="L891" s="36"/>
      <c r="M891" s="36"/>
      <c r="N891" s="36"/>
      <c r="O891" s="36"/>
    </row>
    <row r="892" spans="1:15" ht="18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40"/>
      <c r="L892" s="36"/>
      <c r="M892" s="36"/>
      <c r="N892" s="36"/>
      <c r="O892" s="36"/>
    </row>
    <row r="893" spans="1:15" ht="18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40"/>
      <c r="L893" s="36"/>
      <c r="M893" s="36"/>
      <c r="N893" s="36"/>
      <c r="O893" s="36"/>
    </row>
    <row r="894" spans="1:15" ht="18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40"/>
      <c r="L894" s="36"/>
      <c r="M894" s="36"/>
      <c r="N894" s="36"/>
      <c r="O894" s="36"/>
    </row>
    <row r="895" spans="1:15" ht="18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40"/>
      <c r="L895" s="36"/>
      <c r="M895" s="36"/>
      <c r="N895" s="36"/>
      <c r="O895" s="36"/>
    </row>
    <row r="896" spans="1:15" ht="18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40"/>
      <c r="L896" s="36"/>
      <c r="M896" s="36"/>
      <c r="N896" s="36"/>
      <c r="O896" s="36"/>
    </row>
    <row r="897" spans="1:15" ht="18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40"/>
      <c r="L897" s="36"/>
      <c r="M897" s="36"/>
      <c r="N897" s="36"/>
      <c r="O897" s="36"/>
    </row>
    <row r="898" spans="1:15" ht="18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40"/>
      <c r="L898" s="36"/>
      <c r="M898" s="36"/>
      <c r="N898" s="36"/>
      <c r="O898" s="36"/>
    </row>
    <row r="899" spans="1:15" ht="18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40"/>
      <c r="L899" s="36"/>
      <c r="M899" s="36"/>
      <c r="N899" s="36"/>
      <c r="O899" s="36"/>
    </row>
    <row r="900" spans="1:15" ht="18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40"/>
      <c r="L900" s="36"/>
      <c r="M900" s="36"/>
      <c r="N900" s="36"/>
      <c r="O900" s="36"/>
    </row>
    <row r="901" spans="1:15" ht="18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40"/>
      <c r="L901" s="36"/>
      <c r="M901" s="36"/>
      <c r="N901" s="36"/>
      <c r="O901" s="36"/>
    </row>
    <row r="902" spans="1:15" ht="18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40"/>
      <c r="L902" s="36"/>
      <c r="M902" s="36"/>
      <c r="N902" s="36"/>
      <c r="O902" s="36"/>
    </row>
    <row r="903" spans="1:15" ht="18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40"/>
      <c r="L903" s="36"/>
      <c r="M903" s="36"/>
      <c r="N903" s="36"/>
      <c r="O903" s="36"/>
    </row>
    <row r="904" spans="1:15" ht="18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40"/>
      <c r="L904" s="36"/>
      <c r="M904" s="36"/>
      <c r="N904" s="36"/>
      <c r="O904" s="36"/>
    </row>
    <row r="905" spans="1:15" ht="18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40"/>
      <c r="L905" s="36"/>
      <c r="M905" s="36"/>
      <c r="N905" s="36"/>
      <c r="O905" s="36"/>
    </row>
    <row r="906" spans="1:15" ht="18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40"/>
      <c r="L906" s="36"/>
      <c r="M906" s="36"/>
      <c r="N906" s="36"/>
      <c r="O906" s="36"/>
    </row>
    <row r="907" spans="1:15" ht="18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40"/>
      <c r="L907" s="36"/>
      <c r="M907" s="36"/>
      <c r="N907" s="36"/>
      <c r="O907" s="36"/>
    </row>
    <row r="908" spans="1:15" ht="18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40"/>
      <c r="L908" s="36"/>
      <c r="M908" s="36"/>
      <c r="N908" s="36"/>
      <c r="O908" s="36"/>
    </row>
    <row r="909" spans="1:15" ht="18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40"/>
      <c r="L909" s="36"/>
      <c r="M909" s="36"/>
      <c r="N909" s="36"/>
      <c r="O909" s="36"/>
    </row>
    <row r="910" spans="1:15" ht="18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40"/>
      <c r="L910" s="36"/>
      <c r="M910" s="36"/>
      <c r="N910" s="36"/>
      <c r="O910" s="36"/>
    </row>
    <row r="911" spans="1:15" ht="18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40"/>
      <c r="L911" s="36"/>
      <c r="M911" s="36"/>
      <c r="N911" s="36"/>
      <c r="O911" s="36"/>
    </row>
    <row r="912" spans="1:15" ht="18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40"/>
      <c r="L912" s="36"/>
      <c r="M912" s="36"/>
      <c r="N912" s="36"/>
      <c r="O912" s="36"/>
    </row>
    <row r="913" spans="1:15" ht="18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40"/>
      <c r="L913" s="36"/>
      <c r="M913" s="36"/>
      <c r="N913" s="36"/>
      <c r="O913" s="36"/>
    </row>
    <row r="914" spans="1:15" ht="18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40"/>
      <c r="L914" s="36"/>
      <c r="M914" s="36"/>
      <c r="N914" s="36"/>
      <c r="O914" s="36"/>
    </row>
    <row r="915" spans="1:15" ht="18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40"/>
      <c r="L915" s="36"/>
      <c r="M915" s="36"/>
      <c r="N915" s="36"/>
      <c r="O915" s="36"/>
    </row>
    <row r="916" spans="1:15" ht="18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40"/>
      <c r="L916" s="36"/>
      <c r="M916" s="36"/>
      <c r="N916" s="36"/>
      <c r="O916" s="36"/>
    </row>
    <row r="917" spans="1:15" ht="18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40"/>
      <c r="L917" s="36"/>
      <c r="M917" s="36"/>
      <c r="N917" s="36"/>
      <c r="O917" s="36"/>
    </row>
    <row r="918" spans="1:15" ht="18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40"/>
      <c r="L918" s="36"/>
      <c r="M918" s="36"/>
      <c r="N918" s="36"/>
      <c r="O918" s="36"/>
    </row>
    <row r="919" spans="1:15" ht="18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40"/>
      <c r="L919" s="36"/>
      <c r="M919" s="36"/>
      <c r="N919" s="36"/>
      <c r="O919" s="36"/>
    </row>
    <row r="920" spans="1:15" ht="18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40"/>
      <c r="L920" s="36"/>
      <c r="M920" s="36"/>
      <c r="N920" s="36"/>
      <c r="O920" s="36"/>
    </row>
    <row r="921" spans="1:15" ht="18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40"/>
      <c r="L921" s="36"/>
      <c r="M921" s="36"/>
      <c r="N921" s="36"/>
      <c r="O921" s="36"/>
    </row>
    <row r="922" spans="1:15" ht="18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40"/>
      <c r="L922" s="36"/>
      <c r="M922" s="36"/>
      <c r="N922" s="36"/>
      <c r="O922" s="36"/>
    </row>
    <row r="923" spans="1:15" ht="18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40"/>
      <c r="L923" s="36"/>
      <c r="M923" s="36"/>
      <c r="N923" s="36"/>
      <c r="O923" s="36"/>
    </row>
    <row r="924" spans="1:15" ht="18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40"/>
      <c r="L924" s="36"/>
      <c r="M924" s="36"/>
      <c r="N924" s="36"/>
      <c r="O924" s="36"/>
    </row>
    <row r="925" spans="1:15" ht="18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40"/>
      <c r="L925" s="36"/>
      <c r="M925" s="36"/>
      <c r="N925" s="36"/>
      <c r="O925" s="36"/>
    </row>
    <row r="926" spans="1:15" ht="18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40"/>
      <c r="L926" s="36"/>
      <c r="M926" s="36"/>
      <c r="N926" s="36"/>
      <c r="O926" s="36"/>
    </row>
    <row r="927" spans="1:15" ht="18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40"/>
      <c r="L927" s="36"/>
      <c r="M927" s="36"/>
      <c r="N927" s="36"/>
      <c r="O927" s="36"/>
    </row>
    <row r="928" spans="1:15" ht="18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40"/>
      <c r="L928" s="36"/>
      <c r="M928" s="36"/>
      <c r="N928" s="36"/>
      <c r="O928" s="36"/>
    </row>
    <row r="929" spans="1:15" ht="18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40"/>
      <c r="L929" s="36"/>
      <c r="M929" s="36"/>
      <c r="N929" s="36"/>
      <c r="O929" s="36"/>
    </row>
    <row r="930" spans="1:15" ht="18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40"/>
      <c r="L930" s="36"/>
      <c r="M930" s="36"/>
      <c r="N930" s="36"/>
      <c r="O930" s="36"/>
    </row>
    <row r="931" spans="1:15" ht="18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40"/>
      <c r="L931" s="36"/>
      <c r="M931" s="36"/>
      <c r="N931" s="36"/>
      <c r="O931" s="36"/>
    </row>
    <row r="932" spans="1:15" ht="18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40"/>
      <c r="L932" s="36"/>
      <c r="M932" s="36"/>
      <c r="N932" s="36"/>
      <c r="O932" s="36"/>
    </row>
    <row r="933" spans="1:15" ht="18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40"/>
      <c r="L933" s="36"/>
      <c r="M933" s="36"/>
      <c r="N933" s="36"/>
      <c r="O933" s="36"/>
    </row>
    <row r="934" spans="1:15" ht="18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40"/>
      <c r="L934" s="36"/>
      <c r="M934" s="36"/>
      <c r="N934" s="36"/>
      <c r="O934" s="36"/>
    </row>
    <row r="935" spans="1:15" ht="18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40"/>
      <c r="L935" s="36"/>
      <c r="M935" s="36"/>
      <c r="N935" s="36"/>
      <c r="O935" s="36"/>
    </row>
    <row r="936" spans="1:15" ht="18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40"/>
      <c r="L936" s="36"/>
      <c r="M936" s="36"/>
      <c r="N936" s="36"/>
      <c r="O936" s="36"/>
    </row>
    <row r="937" spans="1:15" ht="18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40"/>
      <c r="L937" s="36"/>
      <c r="M937" s="36"/>
      <c r="N937" s="36"/>
      <c r="O937" s="36"/>
    </row>
    <row r="938" spans="1:15" ht="18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40"/>
      <c r="L938" s="36"/>
      <c r="M938" s="36"/>
      <c r="N938" s="36"/>
      <c r="O938" s="36"/>
    </row>
    <row r="939" spans="1:15" ht="18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40"/>
      <c r="L939" s="36"/>
      <c r="M939" s="36"/>
      <c r="N939" s="36"/>
      <c r="O939" s="36"/>
    </row>
    <row r="940" spans="1:15" ht="18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40"/>
      <c r="L940" s="36"/>
      <c r="M940" s="36"/>
      <c r="N940" s="36"/>
      <c r="O940" s="36"/>
    </row>
    <row r="941" spans="1:15" ht="18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40"/>
      <c r="L941" s="36"/>
      <c r="M941" s="36"/>
      <c r="N941" s="36"/>
      <c r="O941" s="36"/>
    </row>
    <row r="942" spans="1:15" ht="18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40"/>
      <c r="L942" s="36"/>
      <c r="M942" s="36"/>
      <c r="N942" s="36"/>
      <c r="O942" s="36"/>
    </row>
    <row r="943" spans="1:15" ht="18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40"/>
      <c r="L943" s="36"/>
      <c r="M943" s="36"/>
      <c r="N943" s="36"/>
      <c r="O943" s="36"/>
    </row>
    <row r="944" spans="1:15" ht="18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40"/>
      <c r="L944" s="36"/>
      <c r="M944" s="36"/>
      <c r="N944" s="36"/>
      <c r="O944" s="36"/>
    </row>
    <row r="945" spans="1:15" ht="18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40"/>
      <c r="L945" s="36"/>
      <c r="M945" s="36"/>
      <c r="N945" s="36"/>
      <c r="O945" s="36"/>
    </row>
    <row r="946" spans="1:15" ht="18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40"/>
      <c r="L946" s="36"/>
      <c r="M946" s="36"/>
      <c r="N946" s="36"/>
      <c r="O946" s="36"/>
    </row>
    <row r="947" spans="1:15" ht="18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40"/>
      <c r="L947" s="36"/>
      <c r="M947" s="36"/>
      <c r="N947" s="36"/>
      <c r="O947" s="36"/>
    </row>
    <row r="948" spans="1:15" ht="18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40"/>
      <c r="L948" s="36"/>
      <c r="M948" s="36"/>
      <c r="N948" s="36"/>
      <c r="O948" s="36"/>
    </row>
    <row r="949" spans="1:15" ht="18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40"/>
      <c r="L949" s="36"/>
      <c r="M949" s="36"/>
      <c r="N949" s="36"/>
      <c r="O949" s="36"/>
    </row>
    <row r="950" spans="1:15" ht="18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40"/>
      <c r="L950" s="36"/>
      <c r="M950" s="36"/>
      <c r="N950" s="36"/>
      <c r="O950" s="36"/>
    </row>
    <row r="951" spans="1:15" ht="18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40"/>
      <c r="L951" s="36"/>
      <c r="M951" s="36"/>
      <c r="N951" s="36"/>
      <c r="O951" s="36"/>
    </row>
    <row r="952" spans="1:15" ht="18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40"/>
      <c r="L952" s="36"/>
      <c r="M952" s="36"/>
      <c r="N952" s="36"/>
      <c r="O952" s="36"/>
    </row>
    <row r="953" spans="1:15" ht="18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40"/>
      <c r="L953" s="36"/>
      <c r="M953" s="36"/>
      <c r="N953" s="36"/>
      <c r="O953" s="36"/>
    </row>
    <row r="954" spans="1:15" ht="18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40"/>
      <c r="L954" s="36"/>
      <c r="M954" s="36"/>
      <c r="N954" s="36"/>
      <c r="O954" s="36"/>
    </row>
    <row r="955" spans="1:15" ht="18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40"/>
      <c r="L955" s="36"/>
      <c r="M955" s="36"/>
      <c r="N955" s="36"/>
      <c r="O955" s="36"/>
    </row>
    <row r="956" spans="1:15" ht="18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40"/>
      <c r="L956" s="36"/>
      <c r="M956" s="36"/>
      <c r="N956" s="36"/>
      <c r="O956" s="36"/>
    </row>
    <row r="957" spans="1:15" ht="18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40"/>
      <c r="L957" s="36"/>
      <c r="M957" s="36"/>
      <c r="N957" s="36"/>
      <c r="O957" s="36"/>
    </row>
    <row r="958" spans="1:15" ht="18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40"/>
      <c r="L958" s="36"/>
      <c r="M958" s="36"/>
      <c r="N958" s="36"/>
      <c r="O958" s="36"/>
    </row>
    <row r="959" spans="1:15" ht="18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40"/>
      <c r="L959" s="36"/>
      <c r="M959" s="36"/>
      <c r="N959" s="36"/>
      <c r="O959" s="36"/>
    </row>
    <row r="960" spans="1:15" ht="18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40"/>
      <c r="L960" s="36"/>
      <c r="M960" s="36"/>
      <c r="N960" s="36"/>
      <c r="O960" s="36"/>
    </row>
    <row r="961" spans="1:15" ht="18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40"/>
      <c r="L961" s="36"/>
      <c r="M961" s="36"/>
      <c r="N961" s="36"/>
      <c r="O961" s="36"/>
    </row>
    <row r="962" spans="1:15" ht="18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40"/>
      <c r="L962" s="36"/>
      <c r="M962" s="36"/>
      <c r="N962" s="36"/>
      <c r="O962" s="36"/>
    </row>
    <row r="963" spans="1:15" ht="18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40"/>
      <c r="L963" s="36"/>
      <c r="M963" s="36"/>
      <c r="N963" s="36"/>
      <c r="O963" s="36"/>
    </row>
    <row r="964" spans="1:15" ht="18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40"/>
      <c r="L964" s="36"/>
      <c r="M964" s="36"/>
      <c r="N964" s="36"/>
      <c r="O964" s="36"/>
    </row>
    <row r="965" spans="1:15" ht="18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40"/>
      <c r="L965" s="36"/>
      <c r="M965" s="36"/>
      <c r="N965" s="36"/>
      <c r="O965" s="36"/>
    </row>
    <row r="966" spans="1:15" ht="18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40"/>
      <c r="L966" s="36"/>
      <c r="M966" s="36"/>
      <c r="N966" s="36"/>
      <c r="O966" s="36"/>
    </row>
    <row r="967" spans="1:15" ht="18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40"/>
      <c r="L967" s="36"/>
      <c r="M967" s="36"/>
      <c r="N967" s="36"/>
      <c r="O967" s="36"/>
    </row>
    <row r="968" spans="1:15" ht="18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40"/>
      <c r="L968" s="36"/>
      <c r="M968" s="36"/>
      <c r="N968" s="36"/>
      <c r="O968" s="36"/>
    </row>
    <row r="969" spans="1:15" ht="18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40"/>
      <c r="L969" s="36"/>
      <c r="M969" s="36"/>
      <c r="N969" s="36"/>
      <c r="O969" s="36"/>
    </row>
    <row r="970" spans="1:15" ht="18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40"/>
      <c r="L970" s="36"/>
      <c r="M970" s="36"/>
      <c r="N970" s="36"/>
      <c r="O970" s="36"/>
    </row>
    <row r="971" spans="1:15" ht="18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40"/>
      <c r="L971" s="36"/>
      <c r="M971" s="36"/>
      <c r="N971" s="36"/>
      <c r="O971" s="36"/>
    </row>
    <row r="972" spans="1:15" ht="18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40"/>
      <c r="L972" s="36"/>
      <c r="M972" s="36"/>
      <c r="N972" s="36"/>
      <c r="O972" s="36"/>
    </row>
    <row r="973" spans="1:15" ht="18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40"/>
      <c r="L973" s="36"/>
      <c r="M973" s="36"/>
      <c r="N973" s="36"/>
      <c r="O973" s="36"/>
    </row>
    <row r="974" spans="1:15" ht="18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40"/>
      <c r="L974" s="36"/>
      <c r="M974" s="36"/>
      <c r="N974" s="36"/>
      <c r="O974" s="36"/>
    </row>
    <row r="975" spans="1:15" ht="18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40"/>
      <c r="L975" s="36"/>
      <c r="M975" s="36"/>
      <c r="N975" s="36"/>
      <c r="O975" s="36"/>
    </row>
    <row r="976" spans="1:15" ht="18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40"/>
      <c r="L976" s="36"/>
      <c r="M976" s="36"/>
      <c r="N976" s="36"/>
      <c r="O976" s="36"/>
    </row>
    <row r="977" spans="1:15" ht="18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40"/>
      <c r="L977" s="36"/>
      <c r="M977" s="36"/>
      <c r="N977" s="36"/>
      <c r="O977" s="36"/>
    </row>
    <row r="978" spans="1:15" ht="18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40"/>
      <c r="L978" s="36"/>
      <c r="M978" s="36"/>
      <c r="N978" s="36"/>
      <c r="O978" s="36"/>
    </row>
    <row r="979" spans="1:15" ht="18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40"/>
      <c r="L979" s="36"/>
      <c r="M979" s="36"/>
      <c r="N979" s="36"/>
      <c r="O979" s="36"/>
    </row>
    <row r="980" spans="1:15" ht="18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40"/>
      <c r="L980" s="36"/>
      <c r="M980" s="36"/>
      <c r="N980" s="36"/>
      <c r="O980" s="36"/>
    </row>
    <row r="981" spans="1:15" ht="18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40"/>
      <c r="L981" s="36"/>
      <c r="M981" s="36"/>
      <c r="N981" s="36"/>
      <c r="O981" s="36"/>
    </row>
    <row r="982" spans="1:15" ht="18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40"/>
      <c r="L982" s="36"/>
      <c r="M982" s="36"/>
      <c r="N982" s="36"/>
      <c r="O982" s="36"/>
    </row>
    <row r="983" spans="1:15" ht="18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40"/>
      <c r="L983" s="36"/>
      <c r="M983" s="36"/>
      <c r="N983" s="36"/>
      <c r="O983" s="36"/>
    </row>
    <row r="984" spans="1:15" ht="18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40"/>
      <c r="L984" s="36"/>
      <c r="M984" s="36"/>
      <c r="N984" s="36"/>
      <c r="O984" s="36"/>
    </row>
    <row r="985" spans="1:15" ht="18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40"/>
      <c r="L985" s="36"/>
      <c r="M985" s="36"/>
      <c r="N985" s="36"/>
      <c r="O985" s="36"/>
    </row>
    <row r="986" spans="1:15" ht="18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40"/>
      <c r="L986" s="36"/>
      <c r="M986" s="36"/>
      <c r="N986" s="36"/>
      <c r="O986" s="36"/>
    </row>
    <row r="987" spans="1:15" ht="18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40"/>
      <c r="L987" s="36"/>
      <c r="M987" s="36"/>
      <c r="N987" s="36"/>
      <c r="O987" s="36"/>
    </row>
    <row r="988" spans="1:15" ht="18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40"/>
      <c r="L988" s="36"/>
      <c r="M988" s="36"/>
      <c r="N988" s="36"/>
      <c r="O988" s="36"/>
    </row>
    <row r="989" spans="1:15" ht="18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40"/>
      <c r="L989" s="36"/>
      <c r="M989" s="36"/>
      <c r="N989" s="36"/>
      <c r="O989" s="36"/>
    </row>
    <row r="990" spans="1:15" ht="18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40"/>
      <c r="L990" s="36"/>
      <c r="M990" s="36"/>
      <c r="N990" s="36"/>
      <c r="O990" s="36"/>
    </row>
    <row r="991" spans="1:15" ht="18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40"/>
      <c r="L991" s="36"/>
      <c r="M991" s="36"/>
      <c r="N991" s="36"/>
      <c r="O991" s="36"/>
    </row>
    <row r="992" spans="1:15" ht="18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40"/>
      <c r="L992" s="36"/>
      <c r="M992" s="36"/>
      <c r="N992" s="36"/>
      <c r="O992" s="36"/>
    </row>
    <row r="993" spans="1:15" ht="18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40"/>
      <c r="L993" s="36"/>
      <c r="M993" s="36"/>
      <c r="N993" s="36"/>
      <c r="O993" s="36"/>
    </row>
    <row r="994" spans="1:15" ht="18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40"/>
      <c r="L994" s="36"/>
      <c r="M994" s="36"/>
      <c r="N994" s="36"/>
      <c r="O994" s="36"/>
    </row>
    <row r="995" spans="1:15" ht="18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40"/>
      <c r="L995" s="36"/>
      <c r="M995" s="36"/>
      <c r="N995" s="36"/>
      <c r="O995" s="36"/>
    </row>
    <row r="996" spans="1:15" ht="18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40"/>
      <c r="L996" s="36"/>
      <c r="M996" s="36"/>
      <c r="N996" s="36"/>
      <c r="O996" s="36"/>
    </row>
    <row r="997" spans="1:15" ht="18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40"/>
      <c r="L997" s="36"/>
      <c r="M997" s="36"/>
      <c r="N997" s="36"/>
      <c r="O997" s="36"/>
    </row>
    <row r="998" spans="1:15" ht="18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40"/>
      <c r="L998" s="36"/>
      <c r="M998" s="36"/>
      <c r="N998" s="36"/>
      <c r="O998" s="36"/>
    </row>
    <row r="999" spans="1:15" ht="18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40"/>
      <c r="L999" s="36"/>
      <c r="M999" s="36"/>
      <c r="N999" s="36"/>
      <c r="O999" s="36"/>
    </row>
  </sheetData>
  <mergeCells count="3">
    <mergeCell ref="C105:C106"/>
    <mergeCell ref="D105:D106"/>
    <mergeCell ref="F105:F106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</vt:lpstr>
      <vt:lpstr>Уникальные значения</vt:lpstr>
      <vt:lpstr>Херсонська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2018-10-24T08:33:44Z</dcterms:modified>
</cp:coreProperties>
</file>